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预算总表." sheetId="139" r:id="rId1"/>
    <sheet name="公用经费-01." sheetId="83" r:id="rId2"/>
    <sheet name="人员经费-02" sheetId="129" r:id="rId3"/>
    <sheet name="资本性支出(（总）-03" sheetId="131" r:id="rId4"/>
    <sheet name="公用经费-01-01-科教科" sheetId="128" r:id="rId5"/>
    <sheet name="公用经费-01-02-后勤" sheetId="130" r:id="rId6"/>
    <sheet name="公用经费-01--03-设备科-设备维修" sheetId="132" r:id="rId7"/>
    <sheet name="公用经费-01-04-（基本支出-活动经费明细)" sheetId="125" r:id="rId8"/>
    <sheet name="公用经费-01--05-全院" sheetId="134" r:id="rId9"/>
    <sheet name="公用经费-01--06-工会经费" sheetId="19" r:id="rId10"/>
    <sheet name="公用经费-01-07-委托业务费" sheetId="17" r:id="rId11"/>
    <sheet name="资本性支出（明细汇总）-03-01" sheetId="135" r:id="rId12"/>
    <sheet name="儿童福利院项目-04" sheetId="126" r:id="rId13"/>
    <sheet name="坊子福利院-05" sheetId="127" r:id="rId14"/>
    <sheet name="清池公卫-06-01" sheetId="45" r:id="rId15"/>
    <sheet name="清池基本医疗-06-02" sheetId="61" r:id="rId16"/>
    <sheet name="新城公卫-06-03" sheetId="12" r:id="rId17"/>
    <sheet name="新城基本医疗-06-04" sheetId="60" r:id="rId18"/>
    <sheet name="工作量、收入（临床）" sheetId="137" r:id="rId19"/>
    <sheet name="工作量、收入（医技）-07-02" sheetId="75" r:id="rId20"/>
    <sheet name="工作量、收入（防疫）-07-03" sheetId="74" r:id="rId21"/>
    <sheet name="民生项目-08" sheetId="86" r:id="rId2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10" authorId="0">
      <text>
        <r>
          <rPr>
            <b/>
            <sz val="9"/>
            <rFont val="宋体"/>
            <charset val="134"/>
          </rPr>
          <t>lenovo:</t>
        </r>
        <r>
          <rPr>
            <sz val="9"/>
            <rFont val="宋体"/>
            <charset val="134"/>
          </rPr>
          <t xml:space="preserve">
清池96000*90</t>
        </r>
      </text>
    </comment>
    <comment ref="B11" authorId="0">
      <text>
        <r>
          <rPr>
            <b/>
            <sz val="9"/>
            <rFont val="宋体"/>
            <charset val="134"/>
          </rPr>
          <t>lenovo:</t>
        </r>
        <r>
          <rPr>
            <sz val="9"/>
            <rFont val="宋体"/>
            <charset val="134"/>
          </rPr>
          <t xml:space="preserve">
清池96000*30+新城17000*35</t>
        </r>
      </text>
    </comment>
    <comment ref="E24" authorId="0">
      <text>
        <r>
          <rPr>
            <b/>
            <sz val="9"/>
            <rFont val="宋体"/>
            <charset val="134"/>
          </rPr>
          <t>lenovo:</t>
        </r>
        <r>
          <rPr>
            <sz val="9"/>
            <rFont val="宋体"/>
            <charset val="134"/>
          </rPr>
          <t xml:space="preserve">
人员经费574+358</t>
        </r>
      </text>
    </comment>
  </commentList>
</comments>
</file>

<file path=xl/comments2.xml><?xml version="1.0" encoding="utf-8"?>
<comments xmlns="http://schemas.openxmlformats.org/spreadsheetml/2006/main">
  <authors>
    <author>lenovo</author>
  </authors>
  <commentList>
    <comment ref="E6" authorId="0">
      <text>
        <r>
          <rPr>
            <b/>
            <sz val="9"/>
            <rFont val="宋体"/>
            <charset val="134"/>
          </rPr>
          <t>lenovo:</t>
        </r>
        <r>
          <rPr>
            <sz val="9"/>
            <rFont val="宋体"/>
            <charset val="134"/>
          </rPr>
          <t xml:space="preserve">
指：建档总数的62%。</t>
        </r>
      </text>
    </comment>
    <comment ref="F9" authorId="0">
      <text>
        <r>
          <rPr>
            <b/>
            <sz val="9"/>
            <rFont val="宋体"/>
            <charset val="134"/>
          </rPr>
          <t>lenovo:</t>
        </r>
        <r>
          <rPr>
            <sz val="9"/>
            <rFont val="宋体"/>
            <charset val="134"/>
          </rPr>
          <t xml:space="preserve">
需根据机构+卫生室实际播放点位数量填写。</t>
        </r>
      </text>
    </comment>
    <comment ref="F12" authorId="0">
      <text>
        <r>
          <rPr>
            <b/>
            <sz val="9"/>
            <rFont val="宋体"/>
            <charset val="134"/>
          </rPr>
          <t>lenovo:</t>
        </r>
        <r>
          <rPr>
            <sz val="9"/>
            <rFont val="宋体"/>
            <charset val="134"/>
          </rPr>
          <t xml:space="preserve">
需根据机构和卫生室数量填写。</t>
        </r>
      </text>
    </comment>
    <comment ref="F27" authorId="0">
      <text>
        <r>
          <rPr>
            <b/>
            <sz val="9"/>
            <rFont val="宋体"/>
            <charset val="134"/>
          </rPr>
          <t>lenovo:=针次数F52*万分之一。如果小于1，按照1测算。</t>
        </r>
      </text>
    </comment>
    <comment ref="H30" authorId="0">
      <text>
        <r>
          <rPr>
            <b/>
            <sz val="9"/>
            <rFont val="宋体"/>
            <charset val="134"/>
          </rPr>
          <t>lenovo:</t>
        </r>
        <r>
          <rPr>
            <sz val="9"/>
            <rFont val="宋体"/>
            <charset val="134"/>
          </rPr>
          <t xml:space="preserve">
3个表单，每个表单按照5元测算。</t>
        </r>
      </text>
    </comment>
    <comment ref="F42" authorId="0">
      <text>
        <r>
          <rPr>
            <b/>
            <sz val="9"/>
            <rFont val="宋体"/>
            <charset val="134"/>
          </rPr>
          <t>lenovo:</t>
        </r>
        <r>
          <rPr>
            <sz val="9"/>
            <rFont val="宋体"/>
            <charset val="134"/>
          </rPr>
          <t xml:space="preserve">
需根据实际情况自行测算确定。</t>
        </r>
      </text>
    </comment>
  </commentList>
</comments>
</file>

<file path=xl/comments3.xml><?xml version="1.0" encoding="utf-8"?>
<comments xmlns="http://schemas.openxmlformats.org/spreadsheetml/2006/main">
  <authors>
    <author>Administrator</author>
    <author>lenovo</author>
  </authors>
  <commentList>
    <comment ref="B11" authorId="0">
      <text>
        <r>
          <rPr>
            <b/>
            <sz val="9"/>
            <rFont val="宋体"/>
            <charset val="134"/>
          </rPr>
          <t>Administrator:</t>
        </r>
        <r>
          <rPr>
            <sz val="9"/>
            <rFont val="宋体"/>
            <charset val="134"/>
          </rPr>
          <t xml:space="preserve">
2023年老年病科分成老年康复和老年病科</t>
        </r>
      </text>
    </comment>
    <comment ref="G38" authorId="1">
      <text>
        <r>
          <rPr>
            <b/>
            <sz val="9"/>
            <rFont val="宋体"/>
            <charset val="134"/>
          </rPr>
          <t>lenovo:</t>
        </r>
        <r>
          <rPr>
            <sz val="9"/>
            <rFont val="宋体"/>
            <charset val="134"/>
          </rPr>
          <t xml:space="preserve">
支出387.73，管理费用20万为医院获利</t>
        </r>
      </text>
    </comment>
    <comment ref="I38" authorId="1">
      <text>
        <r>
          <rPr>
            <b/>
            <sz val="9"/>
            <rFont val="宋体"/>
            <charset val="134"/>
          </rPr>
          <t>lenovo:</t>
        </r>
        <r>
          <rPr>
            <sz val="9"/>
            <rFont val="宋体"/>
            <charset val="134"/>
          </rPr>
          <t xml:space="preserve">
支出387.73，管理费用20万为医院获利</t>
        </r>
      </text>
    </comment>
    <comment ref="G39" authorId="1">
      <text>
        <r>
          <rPr>
            <b/>
            <sz val="9"/>
            <rFont val="宋体"/>
            <charset val="134"/>
          </rPr>
          <t>lenovo:</t>
        </r>
        <r>
          <rPr>
            <sz val="9"/>
            <rFont val="宋体"/>
            <charset val="134"/>
          </rPr>
          <t xml:space="preserve">
支出614.56万元，管理费为医院获利53.44万元。</t>
        </r>
      </text>
    </comment>
    <comment ref="I39" authorId="1">
      <text>
        <r>
          <rPr>
            <b/>
            <sz val="9"/>
            <rFont val="宋体"/>
            <charset val="134"/>
          </rPr>
          <t>lenovo:</t>
        </r>
        <r>
          <rPr>
            <sz val="9"/>
            <rFont val="宋体"/>
            <charset val="134"/>
          </rPr>
          <t xml:space="preserve">
支出614.56万元，管理费为医院获利53.44万元。</t>
        </r>
      </text>
    </comment>
  </commentList>
</comments>
</file>

<file path=xl/sharedStrings.xml><?xml version="1.0" encoding="utf-8"?>
<sst xmlns="http://schemas.openxmlformats.org/spreadsheetml/2006/main" count="1865" uniqueCount="1040">
  <si>
    <t>2025年度预算</t>
  </si>
  <si>
    <t>单位：潍坊市高新康复医院(单位：万元)</t>
  </si>
  <si>
    <t>收    入     预    算</t>
  </si>
  <si>
    <t>金   额</t>
  </si>
  <si>
    <t>支     出     预    算</t>
  </si>
  <si>
    <t>金      额</t>
  </si>
  <si>
    <t>项           目</t>
  </si>
  <si>
    <t>2025年预算</t>
  </si>
  <si>
    <t>项        目</t>
  </si>
  <si>
    <t>一、财政拨款预算收入</t>
  </si>
  <si>
    <t>一、事业支出</t>
  </si>
  <si>
    <t xml:space="preserve">     其中：基本补助</t>
  </si>
  <si>
    <t xml:space="preserve">     （一）基本支出</t>
  </si>
  <si>
    <t xml:space="preserve">           项目补助</t>
  </si>
  <si>
    <t xml:space="preserve">              人员费用</t>
  </si>
  <si>
    <t xml:space="preserve">               -总控人员费用</t>
  </si>
  <si>
    <t xml:space="preserve">                 其中：工资性支出</t>
  </si>
  <si>
    <t>二、上级补助预算收入</t>
  </si>
  <si>
    <t xml:space="preserve">                       社保公积金支出</t>
  </si>
  <si>
    <t xml:space="preserve">    其中：基本公卫</t>
  </si>
  <si>
    <t xml:space="preserve">             药品材料疫苗等</t>
  </si>
  <si>
    <t xml:space="preserve">         基层医疗</t>
  </si>
  <si>
    <t xml:space="preserve">             日常公用费用</t>
  </si>
  <si>
    <t xml:space="preserve">         民生项目</t>
  </si>
  <si>
    <t xml:space="preserve">                  其中： 水电费支出</t>
  </si>
  <si>
    <t>西/中成药</t>
  </si>
  <si>
    <t>三、事业预算收入</t>
  </si>
  <si>
    <t xml:space="preserve">                         后勤外包服务类</t>
  </si>
  <si>
    <t>中草药</t>
  </si>
  <si>
    <t xml:space="preserve">     1.门诊收入</t>
  </si>
  <si>
    <t xml:space="preserve">                         后勤物资</t>
  </si>
  <si>
    <t>材料</t>
  </si>
  <si>
    <t xml:space="preserve">     2.住院收入</t>
  </si>
  <si>
    <t xml:space="preserve">                         车辆维修等</t>
  </si>
  <si>
    <t>合计</t>
  </si>
  <si>
    <t xml:space="preserve">         其中：医疗服务性收入</t>
  </si>
  <si>
    <t xml:space="preserve">                         委托业务费</t>
  </si>
  <si>
    <t xml:space="preserve">              检查化验收入</t>
  </si>
  <si>
    <t xml:space="preserve">    （二）项目支出</t>
  </si>
  <si>
    <t xml:space="preserve">              材料收入</t>
  </si>
  <si>
    <t xml:space="preserve">             1.资本性支出</t>
  </si>
  <si>
    <t xml:space="preserve">              药品收入</t>
  </si>
  <si>
    <t xml:space="preserve">             2.基本公卫-乡医支出</t>
  </si>
  <si>
    <t xml:space="preserve">                  其中：西药收入</t>
  </si>
  <si>
    <t xml:space="preserve">             3.保健费支出</t>
  </si>
  <si>
    <t xml:space="preserve">                     中草药（颗粒）收入</t>
  </si>
  <si>
    <t>二、备用金</t>
  </si>
  <si>
    <t xml:space="preserve">       3.疫苗收入</t>
  </si>
  <si>
    <t>三、融资本息和支出</t>
  </si>
  <si>
    <t xml:space="preserve">       4.其他收入（福利院收入）</t>
  </si>
  <si>
    <t>四、租赁费</t>
  </si>
  <si>
    <t>预 算 收 入 总  计</t>
  </si>
  <si>
    <t>预 算 支 出 总 计</t>
  </si>
  <si>
    <r>
      <rPr>
        <b/>
        <sz val="18"/>
        <color theme="1"/>
        <rFont val="宋体"/>
        <charset val="134"/>
        <scheme val="minor"/>
      </rPr>
      <t xml:space="preserve">2025年度支出预算--基本支出-公用费用预算支出总表        </t>
    </r>
    <r>
      <rPr>
        <b/>
        <sz val="14"/>
        <color theme="1"/>
        <rFont val="宋体"/>
        <charset val="134"/>
        <scheme val="minor"/>
      </rPr>
      <t xml:space="preserve">单位：万元      </t>
    </r>
    <r>
      <rPr>
        <b/>
        <sz val="18"/>
        <color theme="1"/>
        <rFont val="宋体"/>
        <charset val="134"/>
        <scheme val="minor"/>
      </rPr>
      <t xml:space="preserve">                                   </t>
    </r>
  </si>
  <si>
    <t>单位：潍坊市高新康复医院</t>
  </si>
  <si>
    <t>序号</t>
  </si>
  <si>
    <t>项目名称</t>
  </si>
  <si>
    <t>预算控制数</t>
  </si>
  <si>
    <t>公用费合计（一）：</t>
  </si>
  <si>
    <t xml:space="preserve">      (一）后勤科：</t>
  </si>
  <si>
    <t>1.后勤库消耗物资</t>
  </si>
  <si>
    <t>2.后勤其他费用类</t>
  </si>
  <si>
    <t xml:space="preserve">    （1）后勤外包类服务费</t>
  </si>
  <si>
    <t xml:space="preserve">    (2）小型修建费</t>
  </si>
  <si>
    <t xml:space="preserve">   （3) 车辆维修、油费等</t>
  </si>
  <si>
    <t>3.业务运行类</t>
  </si>
  <si>
    <t xml:space="preserve">     （二）设备科：</t>
  </si>
  <si>
    <t xml:space="preserve">     （三） 委托业务费：</t>
  </si>
  <si>
    <t xml:space="preserve">      (四）科教科：</t>
  </si>
  <si>
    <t xml:space="preserve">     （五）福利院运行经费</t>
  </si>
  <si>
    <t xml:space="preserve">     （六）宣传科：</t>
  </si>
  <si>
    <t xml:space="preserve">     （七） 外联部:</t>
  </si>
  <si>
    <t xml:space="preserve">     （八）护理部：</t>
  </si>
  <si>
    <t xml:space="preserve">     （九)医疗部：</t>
  </si>
  <si>
    <t xml:space="preserve">     (十）办公室：</t>
  </si>
  <si>
    <t xml:space="preserve">    （十一）党办：</t>
  </si>
  <si>
    <t>填表人：</t>
  </si>
  <si>
    <t>科主任：</t>
  </si>
  <si>
    <t>分管院长：</t>
  </si>
  <si>
    <t>1647.39为折旧等</t>
  </si>
  <si>
    <r>
      <rPr>
        <b/>
        <sz val="18"/>
        <rFont val="宋体"/>
        <charset val="134"/>
        <scheme val="minor"/>
      </rPr>
      <t xml:space="preserve">2025年度支出预算--基本支出-人员经费预算明细表     </t>
    </r>
    <r>
      <rPr>
        <b/>
        <sz val="12"/>
        <rFont val="宋体"/>
        <charset val="134"/>
        <scheme val="minor"/>
      </rPr>
      <t xml:space="preserve">单位：万元 </t>
    </r>
    <r>
      <rPr>
        <b/>
        <sz val="18"/>
        <rFont val="宋体"/>
        <charset val="134"/>
        <scheme val="minor"/>
      </rPr>
      <t xml:space="preserve">                                           </t>
    </r>
  </si>
  <si>
    <t>归口管理部门</t>
  </si>
  <si>
    <t>开支项目：日常基本性支出</t>
  </si>
  <si>
    <t>经费来源</t>
  </si>
  <si>
    <t>财政资金</t>
  </si>
  <si>
    <t>自有资金</t>
  </si>
  <si>
    <t>人员费用小计</t>
  </si>
  <si>
    <t>人事科</t>
  </si>
  <si>
    <t>在编人员</t>
  </si>
  <si>
    <t>基本工资-在编</t>
  </si>
  <si>
    <t>津贴补贴（基础性绩效工资+奖励性绩效工资）-在编</t>
  </si>
  <si>
    <t>教护龄津贴-在编</t>
  </si>
  <si>
    <t>物业补贴-在编</t>
  </si>
  <si>
    <t>住房补贴-在编</t>
  </si>
  <si>
    <t>基础绩效奖</t>
  </si>
  <si>
    <t>年终一次性奖金-在编（第十三个月工资）</t>
  </si>
  <si>
    <t>职工住宅取暖补贴-在编</t>
  </si>
  <si>
    <t>年度考核奖-在编（70人）</t>
  </si>
  <si>
    <t>社会保险费-在编</t>
  </si>
  <si>
    <t>住房公积金-在编</t>
  </si>
  <si>
    <t>总控人员</t>
  </si>
  <si>
    <t>工资-总控人员</t>
  </si>
  <si>
    <t>年终一次性奖金-总控人员</t>
  </si>
  <si>
    <t>职工住宅取暖补贴-总控人员</t>
  </si>
  <si>
    <t>年度考核奖-总控人员（179人）</t>
  </si>
  <si>
    <t>社会保险费-总控人员</t>
  </si>
  <si>
    <t>住房公积金-总控人员</t>
  </si>
  <si>
    <t>合同人员</t>
  </si>
  <si>
    <t>工资-合同人员</t>
  </si>
  <si>
    <t>职工住宅取暖补贴-合同人员</t>
  </si>
  <si>
    <t>绩效奖-合同人员（464人）</t>
  </si>
  <si>
    <t>社会保险费-合同人员</t>
  </si>
  <si>
    <t>住房公积金-合同</t>
  </si>
  <si>
    <t>派遣人员</t>
  </si>
  <si>
    <t>工资-派遣人员</t>
  </si>
  <si>
    <t>职工住宅取暖补贴-派遣</t>
  </si>
  <si>
    <t>绩效奖-派遣</t>
  </si>
  <si>
    <t>社会保险费-派遣</t>
  </si>
  <si>
    <t>住房公积金-派遣</t>
  </si>
  <si>
    <t>管理费-派遣</t>
  </si>
  <si>
    <t>在编退休</t>
  </si>
  <si>
    <t>取暖补贴-在编退休</t>
  </si>
  <si>
    <t>精神文明奖-在编退休</t>
  </si>
  <si>
    <t>住房、物业补贴-在编退休</t>
  </si>
  <si>
    <t>退休人员费用-取暖补助（3人）</t>
  </si>
  <si>
    <t>新增人员</t>
  </si>
  <si>
    <t>基本工资 -新增人员</t>
  </si>
  <si>
    <t>[其他]夜班费</t>
  </si>
  <si>
    <t>[其他]误餐费(餐补)</t>
  </si>
  <si>
    <t>退休人员一次性补贴</t>
  </si>
  <si>
    <t>抚恤金及生活补助（遗属补助）</t>
  </si>
  <si>
    <t>专家</t>
  </si>
  <si>
    <t>专家劳务费</t>
  </si>
  <si>
    <t>工会</t>
  </si>
  <si>
    <t>工会经费（全院）</t>
  </si>
  <si>
    <t>财务科</t>
  </si>
  <si>
    <t>工会经费</t>
  </si>
  <si>
    <t>在职-工会经费-60%部分（在编人员）</t>
  </si>
  <si>
    <t>绩效办</t>
  </si>
  <si>
    <t>绩效工资(含科教项目奖励性绩效）</t>
  </si>
  <si>
    <t>分管领导：</t>
  </si>
  <si>
    <r>
      <rPr>
        <b/>
        <sz val="20"/>
        <rFont val="宋体"/>
        <charset val="134"/>
        <scheme val="minor"/>
      </rPr>
      <t>2025年度支出预算--项目支出--资本性支出汇总预算表</t>
    </r>
    <r>
      <rPr>
        <b/>
        <sz val="18"/>
        <rFont val="宋体"/>
        <charset val="134"/>
        <scheme val="minor"/>
      </rPr>
      <t xml:space="preserve">  </t>
    </r>
    <r>
      <rPr>
        <b/>
        <sz val="14"/>
        <rFont val="宋体"/>
        <charset val="134"/>
        <scheme val="minor"/>
      </rPr>
      <t xml:space="preserve">  单位：万元</t>
    </r>
  </si>
  <si>
    <t>经费归口部门</t>
  </si>
  <si>
    <t>项目经费支出</t>
  </si>
  <si>
    <t>备 注</t>
  </si>
  <si>
    <t>设备科</t>
  </si>
  <si>
    <t>专用设备购置费</t>
  </si>
  <si>
    <t>维保尾款</t>
  </si>
  <si>
    <t>后勤科</t>
  </si>
  <si>
    <t>办公、家具设备购置费</t>
  </si>
  <si>
    <t>工程建设</t>
  </si>
  <si>
    <t>信息科</t>
  </si>
  <si>
    <t>维保、尾款</t>
  </si>
  <si>
    <t>设备购置</t>
  </si>
  <si>
    <t>信息化建设</t>
  </si>
  <si>
    <t>医院2025年度专项经费开支预算表（科教科部分）</t>
  </si>
  <si>
    <t>金额单位：万元</t>
  </si>
  <si>
    <t>预算依据</t>
  </si>
  <si>
    <t>备    注</t>
  </si>
  <si>
    <t>肌骨康复科</t>
  </si>
  <si>
    <t>科研专项经费</t>
  </si>
  <si>
    <t>潍坊市科技局课题“肌骨超声可视下三氧注射联合运动疗法对KOA超声形态学及步态变化的影响研究”：1.论文1篇，版面费3000元；2.志愿者招募、数据库使用权限购置等3000元。</t>
  </si>
  <si>
    <t>提供科研立项文件等支撑材料</t>
  </si>
  <si>
    <t>清新社区</t>
  </si>
  <si>
    <t>葛根汤加减结合浮针治疗项背肌筋膜炎的宣传材料等材料费、发表论文。</t>
  </si>
  <si>
    <t>内分泌科</t>
  </si>
  <si>
    <t>课题专家验收费及相关论文发表费用（李圆圆）</t>
  </si>
  <si>
    <t>小计</t>
  </si>
  <si>
    <t>老年病科</t>
  </si>
  <si>
    <t>教学培训项目经费</t>
  </si>
  <si>
    <t>宋仁兴 潍坊市人民医院</t>
  </si>
  <si>
    <t>外请专家授课费（标明拟邀请专家单位、姓名等信息）</t>
  </si>
  <si>
    <t>老年康复科</t>
  </si>
  <si>
    <t>李军 潍坊市人民医院</t>
  </si>
  <si>
    <t>天津中医药大学第一附属医院，骨伤科，王平教授，主任医师，每季度来院指导、授课一次，每次2学时，共计4次。</t>
  </si>
  <si>
    <t>孙倩倩，潍坊市人民医院内分泌科护士长，讲解护理相关知识（2次）；     程雪冰，潍坊市医学院附属医院内分泌科护士长，讲解护理相关知识（2次）；</t>
  </si>
  <si>
    <t>疫苗临床试验科</t>
  </si>
  <si>
    <t>1. 省疾控及省药监专家2人，每人次3000元；疫苗临床试验机构质控指导2人，每人次2000元；以上年均4次，合计40000元。2. 外聘市疾控专家1名，具体专家费用以院办公会研究结果为准。</t>
  </si>
  <si>
    <t>宣传科</t>
  </si>
  <si>
    <t>拟邀请新媒体运营专家、舆情相关专家、医院文化专家等</t>
  </si>
  <si>
    <t>审计</t>
  </si>
  <si>
    <t>内部审计、内部风险、类培训班，薛晓娟、高怡恬，预计培训费3000元/人</t>
  </si>
  <si>
    <t>会议、学术、培训班费</t>
  </si>
  <si>
    <t>每年参加两次业务培训，科室人员轮流参加</t>
  </si>
  <si>
    <t>标明拟参加培训会议的名称、参加人姓名、预计培训费（**元/人）</t>
  </si>
  <si>
    <t>超声科</t>
  </si>
  <si>
    <t>参加省、市级学术会议</t>
  </si>
  <si>
    <t>感染科</t>
  </si>
  <si>
    <t>山东省艾防协会肝病分会会议 500元/人 参会人:陶君梅
山东省青年医务工作者协会肝病
分会会议 会务费:500元/人 参会人:陶君梅
潍坊市护理教育专业委员会会议 会务费350元/人 参会人:孙丽华</t>
  </si>
  <si>
    <t>护理部</t>
  </si>
  <si>
    <t>《山东省护理学会中西医结合专业委员会换届会议》田美欣，培训费2000元。《山东省护理学会互联网+护理服务换届会议》，吉桂琴，培训费2000元。《山东省护理部主任大会》黄隆辉，刘伟，培训费4000元。《潍坊市护理质量控制中心委员会》刘伟，培训费300元。《潍坊市护理管理专业委员会会议》，刘伟，培训费300元。《潍坊市互联网+护理服务委员会会议》刘伟，培训费300元。《国家卫生健康委护理质量管理培训会》，王洁，培训费300元。《山东省护理学会泰山科技论坛-护理领导力发展论坛大会》，王洁，培训费2000元，《山东省护理质量控制管理专题会议》，王洁，2000元。</t>
  </si>
  <si>
    <t>康复医学科</t>
  </si>
  <si>
    <t>外出参加短期培训班，学术会议。参加人员：刘雪朝、王冰心、肖健、贾玉莹、张娜、李文红等。参加神经康复各个领域短期培训班和学术会议。短期培训班会议培训费4000元/人/次。学术会议1000元/人/次。预计派出10人次参加。</t>
  </si>
  <si>
    <t>李秀云、张兵 老年医学培训会议  3000元/人</t>
  </si>
  <si>
    <t>侯法海 兰国伟 医养结合培训会  3000元/人</t>
  </si>
  <si>
    <t>神经内科</t>
  </si>
  <si>
    <t>参加中华医学会神经病学年会，预计费用3000元，参加人员玄得顺、唐忠超、王真、宋华；参加中国康复医学会年会参加人员王玉峰、玄得顺，费用2000元</t>
  </si>
  <si>
    <t>新城中心</t>
  </si>
  <si>
    <t>1.四明穴小儿推拿技术防治儿童青少年近视适宜技术推广学习班 参加姓名:李丽娟、王建- 预计培续费(1000元/人)2.山东中医药学会经筋疗法委员会参加人员:李现龙 预计培训费(1000元/人)3.针药并用防治慢性疼痛提升班 参加人员:李丽娟、庄桂婷 预计培训费用(1000元/人)</t>
  </si>
  <si>
    <t>院感科</t>
  </si>
  <si>
    <t>参加省市院感相关培训会议</t>
  </si>
  <si>
    <t>1.参加疼痛、肌骨康复相关高质量学术、会议、培训班：刘兆亮预计培训费5000元、张其超预计培训费3000元；张久国、初亚蕊、朱佳、谭梦瑶、袁柳、腾逸飞、滕宏涛预计培训费500元/人，共3500元。
2.器械临床试验基地建设，主要岗位人员资质建议需要国家级GCP培训证书（950元/人），马增欣、王玉峰、刘兆亮、张久国、袁柳、腾逸飞、初亚蕊、张其超，共8人，预计7600元。</t>
  </si>
  <si>
    <t>儿童康复科</t>
  </si>
  <si>
    <t>陆秀金、刘婧娟拟参加国家、省级继续培训3次，约3000元/次，共9000元</t>
  </si>
  <si>
    <t>招标办</t>
  </si>
  <si>
    <t>外出参加招标采购相关培训会议，招标办2人，预计培训等费用3000元/人</t>
  </si>
  <si>
    <t>肾病学科</t>
  </si>
  <si>
    <t>齐军，山东省医学会肾脏病专业委员会2025年学术年会，预计培训费1500元；齐军，山东中西医结合学会肾脏疾病专业委员会2025年学术年会，预计培训费1500元。刘甲升，山东省医学会肾脏病专业委员会2025年学术年会，预计培训费1500元。</t>
  </si>
  <si>
    <t>设备管理、医学工程类培训班，刘风玲、董彤、钟金超，预计培训费2000元/人</t>
  </si>
  <si>
    <t>精神科</t>
  </si>
  <si>
    <t xml:space="preserve">《山东省精神障碍信息系统培训》李云培训费用200元
《山东省心理援助热线培训》马丽敏培训费用200元
《山东省睡眠医学专科学术会议》郑春海培训费用600元
</t>
  </si>
  <si>
    <t>检验科</t>
  </si>
  <si>
    <t>山东省性病实验室培训1000元，山东省临床检验基因扩增培训4500元，山东省生物安全培训2000元，山东省临床检验学术培训1000元</t>
  </si>
  <si>
    <t>体检科</t>
  </si>
  <si>
    <t>1、职业病诊断医师培训2、职业健康检查培训3、各种学术会及培训班
参加人员：都金标/7000元、付婧华/1000元、董南南/1000元、牟宏/7000元、孙玉香/7000元</t>
  </si>
  <si>
    <t>参加省疾控组织的各项疫苗临床会议，科室外出培训人员包括张宝忠、吴海燕、谭迪、邵一凡、冷文佳、王婷婷、王洪梅、刘亦菲、姚立群共9人，每人次1000元，年均1次培训，合计9000元。</t>
  </si>
  <si>
    <t>儿科</t>
  </si>
  <si>
    <t>第十七届山东省护理部主任大会会议费980元/人               山东省疼痛医学会会议费300元/人
标明拟参加培训会议的名称山东省护理部主任大会、山东省疼痛医学会会议、郭玲、初振锋、预计培训费（1500元/人）</t>
  </si>
  <si>
    <t>消化内科</t>
  </si>
  <si>
    <t>谭学滨参加省消化年会、胡雪伟参加省造瘘口护理年会及市级年会，胡雪伟5000元/人  谭学滨2500</t>
  </si>
  <si>
    <t>急诊科</t>
  </si>
  <si>
    <t>潍坊市急诊护理学会，李丽娟，200元。山东省医学会急诊分会，王丽丽，1800元</t>
  </si>
  <si>
    <t>根据2024年培训通知人均3000元/次</t>
  </si>
  <si>
    <t>麻醉科</t>
  </si>
  <si>
    <t>手术专科护士培训
省手术专科护士-姜冰</t>
  </si>
  <si>
    <t>心内科</t>
  </si>
  <si>
    <t>2024年宋艳红参加山东省第四届心内科专科护士培训满一年，培训费3500元</t>
  </si>
  <si>
    <t>质控办</t>
  </si>
  <si>
    <t>山东省病案培训，参加人员：邱宇、孙建萍，预计培训费、住宿费、交通费等2500元/人
山东省医疗质量培训，参加人员：郝宗艳、徐小毅，预计培训费、住宿费、交通费等2500元/人
山东省高质量发展与公立医院绩效考核，参加人员：郝宗艳、徐小毅，预计培训费、住宿费、交通费等2500元/人</t>
  </si>
  <si>
    <t>一期临床</t>
  </si>
  <si>
    <t>参加药物临床试验培训，科室参加培训人员包括张宝忠、庄巧霞、谭迪、刘亦菲、共5人，每人次200元，年均1次培训，合计1000元。</t>
  </si>
  <si>
    <t>后勤人员外出参加培训费用</t>
  </si>
  <si>
    <t>口腔科</t>
  </si>
  <si>
    <t>拟参加培训名称：宋冰口腔培训种植进阶课程；
参加人姓名：牟伟伟、郭祺；
预计培训费（9800元/人）</t>
  </si>
  <si>
    <t>骨科</t>
  </si>
  <si>
    <t>山东省疼痛医学会（马增新，王艳红）（预计1500元/人次）潍坊护理学会(王艳红，苗燕，张雪冰，齐昊月）预计500元/人</t>
  </si>
  <si>
    <t>科教科</t>
  </si>
  <si>
    <t>拟参加省、市科研管理学术会议培训班，1000元/人次</t>
  </si>
  <si>
    <t>进修费</t>
  </si>
  <si>
    <t>预计派出4人外出进修，分别为：李宗辉、张晓建、张玉洁、滕军宇。进修医院：北京康复医院、中国康复研究中心、江苏省人民医院。进修专业：肌骨康复、神经康复。进修费4000元/人/次，补助1000/人/月。</t>
  </si>
  <si>
    <t>标明拟派出进修人员姓名、进修医院、专业、预计进修费（**元/人）</t>
  </si>
  <si>
    <t>李颂、代美玲、李欣宜进修老年人护理，5000元/人</t>
  </si>
  <si>
    <t>徐敏健，王娟，泰安市泰山医养中心，无锡太湖金夕延年护理院 护理员 5000元/人  张兵 北京中康 5000元/人</t>
  </si>
  <si>
    <t>1.黄蕾 进修山东省立医院  康复护理 预计进修费6000元；2.陈子颖  进修山东省立医院  康复护理 2次总预计6000元；3.唐忠超 进修中国康复研究中心 神经康复专业 预计进修费用1万元；4.宋华 进修中国康复研究中心 神经康复专业，预计进修费用1万元。</t>
  </si>
  <si>
    <t>眼科</t>
  </si>
  <si>
    <t>孟倩   天津眼科医院/ 潍坊医学院眼科中心      眼视光专业   预计进修费5000元/ 人</t>
  </si>
  <si>
    <t>1.张其超，北京大学附属第三医院，运动损伤康复，预计进修费13000；2.腾逸飞，青岛大学附属医院，体态异常康复、姿势解密，预计进修费3000元；3.初亚蕊，潍坊市人民医院/潍坊市中医院，肉毒毒素使用及管理,预计进修费用500元。</t>
  </si>
  <si>
    <t>杨阳，重庆医科大学附属第一医院，血液净化（含血管通路）专业；进修费用3000元；毛欢，齐鲁医院，肾脏病专业（病房+血透室），预计进修费用2000元。</t>
  </si>
  <si>
    <t>张福玲到潍坊医学院附属医院进修糖尿病专科护士，护理专业，进修费3500元</t>
  </si>
  <si>
    <t xml:space="preserve">山东省护理学会专科护士培训费3500             山东省省立医院3个月儿保进修费5000
拟专科护士学习人员胡珊珊、潍坊市人民医院儿科、儿科护理、进修费（3500元/人）    拟杨金娜到山东大学附属儿童医院儿保科进修儿童保健，进修费5000元/人    </t>
  </si>
  <si>
    <t>急诊专科护士，郝晓萌，潍坊市人民医院，急诊护理，预计进修费3500元。</t>
  </si>
  <si>
    <t>进修姓名：朱海英；进修单位：中国优生优育协会伍阳女性整体康复中心，专业：女性整体康复，学习内容：骨盆带徒手评估与治疗、盆底与腹部徒手评估与治疗、胸廓与呼吸徒手评估与治疗、下肢髋踝膝生物力学。预计进修费25000元/人</t>
  </si>
  <si>
    <t>皮肤科</t>
  </si>
  <si>
    <t>进修人员张伟华，济南中心医院皮肤科，预计进修费用3万一人。</t>
  </si>
  <si>
    <t>财务</t>
  </si>
  <si>
    <t>科室业务用书</t>
  </si>
  <si>
    <t>标明计划购书的书名、数量、价格</t>
  </si>
  <si>
    <t>实用内科学（上下册）400元/套，实用护理技术操作与考核标准 100元/本，老年护理学（人卫第5版）80元/本，老年护理全书 80元/本</t>
  </si>
  <si>
    <t>康复护理学70神经内科护理60医养结合老年护理实践指南60急危重症护理学50重症患者导管护理指南50护理营养学50循证护理-证据临床转化理论与实践105</t>
  </si>
  <si>
    <t>疼痛、肌骨康复相关内容的最新指南、专家共识等，以及科室能开展的新技术。</t>
  </si>
  <si>
    <t>招标投标法注解与配套、政府采购法注解与配套、招标投标管理办法各1本共计约50元、采购与招标管理职位工作手册1本约40元、招标采购常见问题汇编400问1本约60元</t>
  </si>
  <si>
    <t>中国血液净化（月刊）420元/年。中华肾脏病杂志（月刊） 320元/年。</t>
  </si>
  <si>
    <t>《日间手术麻醉手册》58元；《麻醉会诊与术前评估手册》88元；《神经阻滞手册》168元；《麻醉常用仪器操作手册》58元；《麻醉治疗学》120元</t>
  </si>
  <si>
    <t>购买疫苗临床试验相关书籍均价200元，年均8本，合计1600元。</t>
  </si>
  <si>
    <t>《一步一步做好根管治疗》，1本，198元；</t>
  </si>
  <si>
    <t>见习生教学授课费</t>
  </si>
  <si>
    <t>根据《临床教学津贴发放管理办法（试行）》执行，从学校拨付教学经费中支出</t>
  </si>
  <si>
    <t>论文论著专利经费</t>
  </si>
  <si>
    <t>根据2024年修订《学术论文和著作管理办法》制度执行</t>
  </si>
  <si>
    <t>考试系统服务费</t>
  </si>
  <si>
    <t>考试系统维护合同协议执行</t>
  </si>
  <si>
    <t>单位会员会费</t>
  </si>
  <si>
    <t>山东省医养健康产业协会理事单位会费会员单位</t>
  </si>
  <si>
    <t>所有费用总计</t>
  </si>
  <si>
    <t>科室负责人：</t>
  </si>
  <si>
    <t xml:space="preserve">                       填表人：</t>
  </si>
  <si>
    <r>
      <rPr>
        <b/>
        <sz val="20"/>
        <color theme="1"/>
        <rFont val="宋体"/>
        <charset val="134"/>
        <scheme val="minor"/>
      </rPr>
      <t xml:space="preserve">               2025年基本支出-后勤科预算提报数 </t>
    </r>
    <r>
      <rPr>
        <b/>
        <sz val="16"/>
        <color theme="1"/>
        <rFont val="宋体"/>
        <charset val="134"/>
        <scheme val="minor"/>
      </rPr>
      <t xml:space="preserve">                </t>
    </r>
    <r>
      <rPr>
        <sz val="16"/>
        <color theme="1"/>
        <rFont val="宋体"/>
        <charset val="134"/>
        <scheme val="minor"/>
      </rPr>
      <t>单位：万元</t>
    </r>
  </si>
  <si>
    <t>项目分类</t>
  </si>
  <si>
    <t>内 容</t>
  </si>
  <si>
    <t>数量</t>
  </si>
  <si>
    <t>单位/规格</t>
  </si>
  <si>
    <t>单价（元）</t>
  </si>
  <si>
    <t>预算数（元）</t>
  </si>
  <si>
    <t>1.其他购、修、建类</t>
  </si>
  <si>
    <t>机电维修</t>
  </si>
  <si>
    <t>水、电、暖、机电设备维修</t>
  </si>
  <si>
    <t>项</t>
  </si>
  <si>
    <t>全院</t>
  </si>
  <si>
    <t>基建维修</t>
  </si>
  <si>
    <t>门窗维修</t>
  </si>
  <si>
    <t>房屋修缮</t>
  </si>
  <si>
    <t>想</t>
  </si>
  <si>
    <t>中医治疗室改造</t>
  </si>
  <si>
    <t>管道维修</t>
  </si>
  <si>
    <t>网络信息系统运行与维护费</t>
  </si>
  <si>
    <t>办公网络设备、监控维修配件更换、新增科室与科室调配弱电布钱</t>
  </si>
  <si>
    <t>网络设备及监控设备、根据医院发规划新增学科设置所配备的办公自动化</t>
  </si>
  <si>
    <t>服务外包类</t>
  </si>
  <si>
    <t>被服洗涤</t>
  </si>
  <si>
    <t>年</t>
  </si>
  <si>
    <t>全院洗涤业务外包</t>
  </si>
  <si>
    <t>有线电视</t>
  </si>
  <si>
    <t>电视服务费</t>
  </si>
  <si>
    <t>手术室空气净化系统维保</t>
  </si>
  <si>
    <t>更换净化空气滤</t>
  </si>
  <si>
    <t>消防维保外包</t>
  </si>
  <si>
    <t>消防管道 报警设施</t>
  </si>
  <si>
    <t>电梯维保外包</t>
  </si>
  <si>
    <t>电梯日常维保（含年检），新增康复楼21台电梯</t>
  </si>
  <si>
    <t>环境指标定期检测年度服务</t>
  </si>
  <si>
    <t>生活垃圾清运</t>
  </si>
  <si>
    <t>医废处置</t>
  </si>
  <si>
    <t>危险废物处置</t>
  </si>
  <si>
    <t>污水处理</t>
  </si>
  <si>
    <t>在线检测外包</t>
  </si>
  <si>
    <t>氧气及二氧化碳供应</t>
  </si>
  <si>
    <t>物业公司外包</t>
  </si>
  <si>
    <t>安保公司外包</t>
  </si>
  <si>
    <t>办公运行类</t>
  </si>
  <si>
    <t>2.办公运行类</t>
  </si>
  <si>
    <t>取暖费</t>
  </si>
  <si>
    <t>水</t>
  </si>
  <si>
    <t>电</t>
  </si>
  <si>
    <t>交通工具费用类</t>
  </si>
  <si>
    <t>3.交通工具费用类</t>
  </si>
  <si>
    <t>车辆维修保养</t>
  </si>
  <si>
    <t>120救护车及行政用车</t>
  </si>
  <si>
    <t>车辆保险</t>
  </si>
  <si>
    <t>汽油　</t>
  </si>
  <si>
    <t>柴油</t>
  </si>
  <si>
    <t>4.后勤物资类</t>
  </si>
  <si>
    <t>物资耗材</t>
  </si>
  <si>
    <t>塑料制品</t>
  </si>
  <si>
    <t>垃圾袋、锐器盒、垃圾桶</t>
  </si>
  <si>
    <t>办公用品、办公耗材</t>
  </si>
  <si>
    <t>印刷品</t>
  </si>
  <si>
    <t>五金配件</t>
  </si>
  <si>
    <t>净水滤芯及配件</t>
  </si>
  <si>
    <t>布草类</t>
  </si>
  <si>
    <t>土产建材</t>
  </si>
  <si>
    <t>适老用品</t>
  </si>
  <si>
    <t>院长：</t>
  </si>
  <si>
    <t>2025年度支出预算-基本性支出-设备科维修费预算明细表</t>
  </si>
  <si>
    <t>单位：万元</t>
  </si>
  <si>
    <t>归口科室</t>
  </si>
  <si>
    <t>科室</t>
  </si>
  <si>
    <t>设备名称</t>
  </si>
  <si>
    <t>单价</t>
  </si>
  <si>
    <t>设备科维修费用</t>
  </si>
  <si>
    <t>设备科医疗设备参数专家论证</t>
  </si>
  <si>
    <t>设备科价格查询平台服务</t>
  </si>
  <si>
    <t>设备科维修快递费用</t>
  </si>
  <si>
    <t>特检科</t>
  </si>
  <si>
    <t>维修费</t>
  </si>
  <si>
    <t>放射科</t>
  </si>
  <si>
    <t>放射科工作人员年度职业病体检</t>
  </si>
  <si>
    <t>放射科2台DR、2台透视机、1台乳腺钼靶机维修费</t>
  </si>
  <si>
    <t>肌骨康复科冲击波治疗仪配件更换费用</t>
  </si>
  <si>
    <t>泥疗机用泥</t>
  </si>
  <si>
    <t>妇产科</t>
  </si>
  <si>
    <t>妇产科宫腔镜维修</t>
  </si>
  <si>
    <t>老年病科/肿瘤科</t>
  </si>
  <si>
    <t>老年病科维修费用</t>
  </si>
  <si>
    <t>耳鼻喉科</t>
  </si>
  <si>
    <t>手术室</t>
  </si>
  <si>
    <t>静脉输注靶控泵维修</t>
  </si>
  <si>
    <t>疫苗临床试验</t>
  </si>
  <si>
    <t>肾内科</t>
  </si>
  <si>
    <t>康复科</t>
  </si>
  <si>
    <t>其它设备维修换件</t>
  </si>
  <si>
    <t>便携式生物刺激反馈仪理疗线</t>
  </si>
  <si>
    <t xml:space="preserve">  红蓝光液压维修</t>
  </si>
  <si>
    <t>皮肤镜偏振光镜片</t>
  </si>
  <si>
    <t xml:space="preserve">  UVB灯管维修费</t>
  </si>
  <si>
    <t xml:space="preserve">  常规维修</t>
  </si>
  <si>
    <t>其他机器维修费</t>
  </si>
  <si>
    <t>呼吸机维修费</t>
  </si>
  <si>
    <t>供应室</t>
  </si>
  <si>
    <t>合计：</t>
  </si>
  <si>
    <t>附表</t>
  </si>
  <si>
    <t>2025年度支出预算--基本支出--公用经费--活动经费支出预算明细表</t>
  </si>
  <si>
    <t>活动经费支出</t>
  </si>
  <si>
    <t>2021预算调整控制数</t>
  </si>
  <si>
    <t>责任人</t>
  </si>
  <si>
    <t>党办</t>
  </si>
  <si>
    <t>学习书本费</t>
  </si>
  <si>
    <t>政治理论学习资料及订阅各类党员读物杂志费用开支</t>
  </si>
  <si>
    <t>李维梁</t>
  </si>
  <si>
    <t>参观培训</t>
  </si>
  <si>
    <t>参观革命历史展览、党性教育基地、进行传统教育等费用的开支</t>
  </si>
  <si>
    <t>党建示范点</t>
  </si>
  <si>
    <t>其他</t>
  </si>
  <si>
    <t>购买党员学习笔记本、党员佩戴徽章、政治生日贺卡等</t>
  </si>
  <si>
    <t>工会活动经费</t>
  </si>
  <si>
    <t>具体事宜由上级单位决定</t>
  </si>
  <si>
    <t>牟伟伟</t>
  </si>
  <si>
    <t>办公室</t>
  </si>
  <si>
    <t>献血经费</t>
  </si>
  <si>
    <t>职工总人数的10%，每人500元补助</t>
  </si>
  <si>
    <t>王希梅</t>
  </si>
  <si>
    <t>档案经费</t>
  </si>
  <si>
    <t>依市区两级要求，用于档案专业物资采购</t>
  </si>
  <si>
    <t>保密工作经费</t>
  </si>
  <si>
    <t>按要求配备保密电脑、打印机、复印机、硬盘、订阅保密刊物等硬件</t>
  </si>
  <si>
    <t>团委活动经费</t>
  </si>
  <si>
    <t>按上级要求开展各类活动</t>
  </si>
  <si>
    <t>办公经费</t>
  </si>
  <si>
    <t>购置日常办公、刻章、公务接待用品</t>
  </si>
  <si>
    <t>宣传品制作经费</t>
  </si>
  <si>
    <t>曹伟</t>
  </si>
  <si>
    <t>设备购置、视频制作、宣传</t>
  </si>
  <si>
    <t>培训学习费</t>
  </si>
  <si>
    <t>宣教讲座费</t>
  </si>
  <si>
    <t>5.12护士节及各类活动经费</t>
  </si>
  <si>
    <t>刘伟</t>
  </si>
  <si>
    <t>潍坊市护理学会医养健康护理学术会议</t>
  </si>
  <si>
    <t>医疗部</t>
  </si>
  <si>
    <t>医师节优秀医师评比</t>
  </si>
  <si>
    <t>近几年奖励</t>
  </si>
  <si>
    <t>郝宗艳</t>
  </si>
  <si>
    <t>基本技能竞赛</t>
  </si>
  <si>
    <t>优秀病历评选</t>
  </si>
  <si>
    <t>医师节演讲比赛</t>
  </si>
  <si>
    <t>医师节纪念品</t>
  </si>
  <si>
    <t>依据既往医师节纪念品支出</t>
  </si>
  <si>
    <t>康复医师竞赛</t>
  </si>
  <si>
    <t>康复医师节纪念品</t>
  </si>
  <si>
    <t>外联部</t>
  </si>
  <si>
    <t>医疗责任险</t>
  </si>
  <si>
    <t>第三方电话回访</t>
  </si>
  <si>
    <r>
      <rPr>
        <b/>
        <sz val="22"/>
        <rFont val="宋体"/>
        <charset val="134"/>
      </rPr>
      <t xml:space="preserve">          2025年度职能科室-财务科-预算提报表       </t>
    </r>
    <r>
      <rPr>
        <b/>
        <sz val="15"/>
        <rFont val="宋体"/>
        <charset val="134"/>
      </rPr>
      <t xml:space="preserve"> </t>
    </r>
  </si>
  <si>
    <t>科室名称：全院</t>
  </si>
  <si>
    <t>预算项目名称</t>
  </si>
  <si>
    <t>备注</t>
  </si>
  <si>
    <t>手续费</t>
  </si>
  <si>
    <t>固定资产折旧</t>
  </si>
  <si>
    <t>无形资产摊销摊销</t>
  </si>
  <si>
    <t>医疗风险基金</t>
  </si>
  <si>
    <t>坏账损失</t>
  </si>
  <si>
    <t>长期待摊费用摊销</t>
  </si>
  <si>
    <r>
      <t xml:space="preserve">       2025年度工会基本支出预算编制表       </t>
    </r>
    <r>
      <rPr>
        <b/>
        <sz val="10"/>
        <color theme="1"/>
        <rFont val="宋体"/>
        <charset val="134"/>
        <scheme val="minor"/>
      </rPr>
      <t xml:space="preserve"> 单位：万元    </t>
    </r>
    <r>
      <rPr>
        <b/>
        <sz val="20"/>
        <color theme="1"/>
        <rFont val="宋体"/>
        <charset val="134"/>
        <scheme val="minor"/>
      </rPr>
      <t xml:space="preserve">                                     </t>
    </r>
  </si>
  <si>
    <t xml:space="preserve"> 预算依据</t>
  </si>
  <si>
    <t>互助保障</t>
  </si>
  <si>
    <t>合同人员，每人88元，按照今年468人算</t>
  </si>
  <si>
    <t>重疾险</t>
  </si>
  <si>
    <t>合同人员，每人30元，按照今年465人算</t>
  </si>
  <si>
    <t>住院互助保障</t>
  </si>
  <si>
    <t>单价88元，数量720。88*720=63360元。具体事宜由工会余额决定</t>
  </si>
  <si>
    <t>重疾互助保障</t>
  </si>
  <si>
    <t>单价30元，数量720。30*720=21600元。具体事宜由工会余额决定</t>
  </si>
  <si>
    <t>两节福利</t>
  </si>
  <si>
    <t>1200元/年，数量720。1200*720=864000元。具体事宜由工会余额决定</t>
  </si>
  <si>
    <t>活动经费</t>
  </si>
  <si>
    <t>具体事宜由工会余额决定</t>
  </si>
  <si>
    <t>专家讲座</t>
  </si>
  <si>
    <r>
      <rPr>
        <b/>
        <sz val="18"/>
        <rFont val="宋体"/>
        <charset val="134"/>
        <scheme val="minor"/>
      </rPr>
      <t xml:space="preserve">       2025年度支出预算-基本支出--委托业务支出预算明细表   </t>
    </r>
    <r>
      <rPr>
        <b/>
        <sz val="14"/>
        <rFont val="宋体"/>
        <charset val="134"/>
        <scheme val="minor"/>
      </rPr>
      <t xml:space="preserve">单位：万元    </t>
    </r>
    <r>
      <rPr>
        <b/>
        <sz val="18"/>
        <rFont val="宋体"/>
        <charset val="134"/>
        <scheme val="minor"/>
      </rPr>
      <t xml:space="preserve">                                          </t>
    </r>
  </si>
  <si>
    <t>委托业务费</t>
  </si>
  <si>
    <t>委托业务费（叶酸利用能力遗传检测）</t>
  </si>
  <si>
    <t>山东卓信医学检验有限公司（编号:WFGXPH2210142。服务内容:叶酸利用能力遗传检测项目，收费标准:院方50％。）500蚊*180元/人=90000元</t>
  </si>
  <si>
    <t>外送检验项目</t>
  </si>
  <si>
    <t>潍坊海拓医学检验实验室有限公司（合同编号：WFGXPH20230032）项目收费标准：潍坊市海拓检验有限公司检测，院方50%。来源渠道、筹措程序合规，符合科室业务开展需要。</t>
  </si>
  <si>
    <t>义齿加工</t>
  </si>
  <si>
    <t>青岛华新华义齿技术有限公司（合同编号：WFGXPH20190074、WFGXPH20190075）</t>
  </si>
  <si>
    <t>专家评审费、代理服务费、标书制作费</t>
  </si>
  <si>
    <t>用于招投标支付专家评审费、代理服务费、标书制作等费用</t>
  </si>
  <si>
    <r>
      <rPr>
        <b/>
        <sz val="18"/>
        <rFont val="宋体"/>
        <charset val="134"/>
        <scheme val="minor"/>
      </rPr>
      <t xml:space="preserve">2025年度支出预算-项目支出-资本性支出预算明细表 </t>
    </r>
    <r>
      <rPr>
        <b/>
        <sz val="20"/>
        <rFont val="宋体"/>
        <charset val="134"/>
        <scheme val="minor"/>
      </rPr>
      <t xml:space="preserve"> </t>
    </r>
    <r>
      <rPr>
        <b/>
        <sz val="14"/>
        <rFont val="宋体"/>
        <charset val="134"/>
        <scheme val="minor"/>
      </rPr>
      <t xml:space="preserve">  单位：万元</t>
    </r>
  </si>
  <si>
    <t>申请科室</t>
  </si>
  <si>
    <t>一：</t>
  </si>
  <si>
    <t>购置新增资产设备</t>
  </si>
  <si>
    <t>见下明细</t>
  </si>
  <si>
    <t>其中1.医疗专用设备新增</t>
  </si>
  <si>
    <t>彩超机</t>
  </si>
  <si>
    <t>眼科视觉训练相关设备</t>
  </si>
  <si>
    <t>眼科干眼检测仪</t>
  </si>
  <si>
    <t>眼科干眼治疗仪</t>
  </si>
  <si>
    <t>眼科电脑验光仪</t>
  </si>
  <si>
    <t>眼科眼轴生物测量仪</t>
  </si>
  <si>
    <t>眼科视网膜光学相干断层成像OCT</t>
  </si>
  <si>
    <t>放射科阅片专用显示屏</t>
  </si>
  <si>
    <t>保税院区</t>
  </si>
  <si>
    <t>心电监护仪</t>
  </si>
  <si>
    <t>输液泵</t>
  </si>
  <si>
    <t>注射泵</t>
  </si>
  <si>
    <t>电针仪</t>
  </si>
  <si>
    <t>治疗车</t>
  </si>
  <si>
    <t>太空熏蒸舱</t>
  </si>
  <si>
    <t>多功能理疗床（全身熏蒸、艾灸、头疗）</t>
  </si>
  <si>
    <t>妇产科经皮黄疸仪</t>
  </si>
  <si>
    <t>老年病科防褥疮气垫床</t>
  </si>
  <si>
    <t>诊断型耳声发射测试仪</t>
  </si>
  <si>
    <t>听力计</t>
  </si>
  <si>
    <t>血压计台式</t>
  </si>
  <si>
    <t>身高体重仪</t>
  </si>
  <si>
    <t>全胸震荡排痰仪</t>
  </si>
  <si>
    <t>电子血压计</t>
  </si>
  <si>
    <t>输液治疗车</t>
  </si>
  <si>
    <t>额温枪</t>
  </si>
  <si>
    <t>缺血预适应仪</t>
  </si>
  <si>
    <t>神经刺激仪</t>
  </si>
  <si>
    <t>手术升温毯体温监测系统</t>
  </si>
  <si>
    <t>患者交换车</t>
  </si>
  <si>
    <t>呼吸与危重症</t>
  </si>
  <si>
    <t>医用呼出一氧化氮气体检测仪</t>
  </si>
  <si>
    <t>超声震荡机</t>
  </si>
  <si>
    <t>蒸馏水机</t>
  </si>
  <si>
    <t>针推科</t>
  </si>
  <si>
    <t>艾灸架</t>
  </si>
  <si>
    <t>洗胃机</t>
  </si>
  <si>
    <t>血压计</t>
  </si>
  <si>
    <t>血氧仪</t>
  </si>
  <si>
    <t>移动输液架</t>
  </si>
  <si>
    <t>抢救床</t>
  </si>
  <si>
    <t>全自动微生物鉴定药敏分析系统</t>
  </si>
  <si>
    <t>全自动细菌分枝杆菌培养检测系统</t>
  </si>
  <si>
    <t>全自动化学发光免疫分析仪</t>
  </si>
  <si>
    <t>超声骨密度仪(桡骨)</t>
  </si>
  <si>
    <t>疫苗临床试验设备</t>
  </si>
  <si>
    <t>便携式生物刺激反馈仪产康与盆底治疗一体机</t>
  </si>
  <si>
    <t>生物刺激反馈仪盆底评估与治疗一体机</t>
  </si>
  <si>
    <t>水光针注射仪</t>
  </si>
  <si>
    <t>新城社区</t>
  </si>
  <si>
    <t>全胸振荡排痰机</t>
  </si>
  <si>
    <t>极超短波治疗仪</t>
  </si>
  <si>
    <t>气垫床</t>
  </si>
  <si>
    <t>排痰机</t>
  </si>
  <si>
    <t>监护仪</t>
  </si>
  <si>
    <t>胃肠镜</t>
  </si>
  <si>
    <t>二上新增</t>
  </si>
  <si>
    <t>化学发光分析仪</t>
  </si>
  <si>
    <t>其中2.一般设备、办公设备、家具新增</t>
  </si>
  <si>
    <t>条码打印机</t>
  </si>
  <si>
    <t>投影仪</t>
  </si>
  <si>
    <t>身份证识别器</t>
  </si>
  <si>
    <t>五合一读卡器</t>
  </si>
  <si>
    <t>冰箱</t>
  </si>
  <si>
    <t>衣物杀菌烘干机</t>
  </si>
  <si>
    <t>单反数码相机</t>
  </si>
  <si>
    <t>消毒柜</t>
  </si>
  <si>
    <t>防压疮气垫床</t>
  </si>
  <si>
    <t>录像机</t>
  </si>
  <si>
    <t>可移动治疗车</t>
  </si>
  <si>
    <t>康佳会议大屏平板一体机（可移动底座）</t>
  </si>
  <si>
    <t>其中3.房屋建筑物构建</t>
  </si>
  <si>
    <t>昌大工程款（2021年已完工未支付）</t>
  </si>
  <si>
    <t>其中4.无形资产构建</t>
  </si>
  <si>
    <t>预算数量</t>
  </si>
  <si>
    <t>预算提报数</t>
  </si>
  <si>
    <t>二：</t>
  </si>
  <si>
    <t>维保、尾款.租赁</t>
  </si>
  <si>
    <t>设备科支付以前年度采购设备尾款</t>
  </si>
  <si>
    <t>设备科全院设备计量检定服务费用</t>
  </si>
  <si>
    <t>设备科辐射环境检测、设备状态检测、稳定性检测、辐射剂量报警仪、巡检仪、个人剂量检测</t>
  </si>
  <si>
    <t>放射科核磁共振维保费</t>
  </si>
  <si>
    <t>放射科GE CT维保费</t>
  </si>
  <si>
    <t>二上调整</t>
  </si>
  <si>
    <t>放射科东软CT维保费</t>
  </si>
  <si>
    <t>放射科东软CT球管尾款</t>
  </si>
  <si>
    <t>放射科东软CT维保费25年重新招标</t>
  </si>
  <si>
    <r>
      <rPr>
        <b/>
        <sz val="22"/>
        <rFont val="宋体"/>
        <charset val="134"/>
      </rPr>
      <t xml:space="preserve">          2025年度职能科室预算提报表       </t>
    </r>
    <r>
      <rPr>
        <b/>
        <sz val="15"/>
        <rFont val="宋体"/>
        <charset val="134"/>
      </rPr>
      <t xml:space="preserve"> </t>
    </r>
  </si>
  <si>
    <t>科室名称：儿童福利院项目组</t>
  </si>
  <si>
    <t>预算控制数(万元）</t>
  </si>
  <si>
    <t>工资</t>
  </si>
  <si>
    <t>73人*12月</t>
  </si>
  <si>
    <t>社会保险费</t>
  </si>
  <si>
    <t>住房公积金</t>
  </si>
  <si>
    <t>大额医保</t>
  </si>
  <si>
    <t>73人</t>
  </si>
  <si>
    <t>福利费</t>
  </si>
  <si>
    <t>互助保障+重疾险</t>
  </si>
  <si>
    <t>体检费</t>
  </si>
  <si>
    <t>管理费（收入）</t>
  </si>
  <si>
    <t>招标代理费</t>
  </si>
  <si>
    <t>专项招聘费用</t>
  </si>
  <si>
    <t>15次</t>
  </si>
  <si>
    <t>专家费</t>
  </si>
  <si>
    <t>6人*2次</t>
  </si>
  <si>
    <t>心理咨询项目</t>
  </si>
  <si>
    <t>审计费</t>
  </si>
  <si>
    <r>
      <rPr>
        <sz val="20"/>
        <rFont val="宋体"/>
        <charset val="134"/>
      </rPr>
      <t xml:space="preserve">     </t>
    </r>
    <r>
      <rPr>
        <b/>
        <sz val="20"/>
        <rFont val="宋体"/>
        <charset val="134"/>
      </rPr>
      <t>潍坊市社会福利院项目组2025年预算表</t>
    </r>
  </si>
  <si>
    <t>预算控制数（万元）</t>
  </si>
  <si>
    <t>分管院长</t>
  </si>
  <si>
    <t>备注（测算明细）</t>
  </si>
  <si>
    <t>张立平</t>
  </si>
  <si>
    <t>2024年实发及未发预估</t>
  </si>
  <si>
    <t>社保、公积金医院补贴，大额保险</t>
  </si>
  <si>
    <t>2024年4月份社保、公积金医院配额</t>
  </si>
  <si>
    <t>医院补贴733286.6，个人扣除317758.2，大额6250。</t>
  </si>
  <si>
    <t>工会费</t>
  </si>
  <si>
    <t>2024中标年度内数额</t>
  </si>
  <si>
    <t>1200*41=49200</t>
  </si>
  <si>
    <t>2024年体检费</t>
  </si>
  <si>
    <t>512*41=20992</t>
  </si>
  <si>
    <t>办公耗材</t>
  </si>
  <si>
    <t>2024中标年度内耗材数额</t>
  </si>
  <si>
    <t>2024年招标代理费</t>
  </si>
  <si>
    <t>2024年招标代理费：3.5238万</t>
  </si>
  <si>
    <t>大赛奖金</t>
  </si>
  <si>
    <t>2024年奖励数额</t>
  </si>
  <si>
    <t>2024年0.6万</t>
  </si>
  <si>
    <t>业务培训费</t>
  </si>
  <si>
    <t>2024年加大消防培训力度，每人每参加一次25元，要求一个月四次，志愿队现为27人。</t>
  </si>
  <si>
    <t>陪护费</t>
  </si>
  <si>
    <t>年终科室优秀奖金</t>
  </si>
  <si>
    <t>2024年中标年度：6人*300=1800元，（预计）</t>
  </si>
  <si>
    <t>2024年中标数额</t>
  </si>
  <si>
    <t>2023年2万</t>
  </si>
  <si>
    <t>工服</t>
  </si>
  <si>
    <t>43人需要做工服</t>
  </si>
  <si>
    <t>医院管理费（收入）</t>
  </si>
  <si>
    <t>2024年10万</t>
  </si>
  <si>
    <t>2025年清池街道社区卫生服务中心基本公共卫生服务项目(12项）经费测算表</t>
  </si>
  <si>
    <t>类别</t>
  </si>
  <si>
    <t>经费占比</t>
  </si>
  <si>
    <t>项目</t>
  </si>
  <si>
    <t>单位标准</t>
  </si>
  <si>
    <t>测算基数</t>
  </si>
  <si>
    <t>任务目标</t>
  </si>
  <si>
    <t>实际任务数</t>
  </si>
  <si>
    <t>经费
（元）</t>
  </si>
  <si>
    <t>人均经费
（元）</t>
  </si>
  <si>
    <t>测算说明</t>
  </si>
  <si>
    <t>测算基数来源</t>
  </si>
  <si>
    <t>1</t>
  </si>
  <si>
    <t>居民健康档案管理</t>
  </si>
  <si>
    <t>电子健康档案、维护</t>
  </si>
  <si>
    <t>元/份</t>
  </si>
  <si>
    <t>份</t>
  </si>
  <si>
    <t>健康档案建立、更新维护和向居民开放等费用。含人力成本（含家庭医生签约服务）6元，其他成本1元，包括材料费、装订费、通讯费、交通费、印刷费。服务内容为电子健康档案的录入，迁出、死亡档案处置，患者就诊数据更新等。</t>
  </si>
  <si>
    <t>总人口数</t>
  </si>
  <si>
    <t>2</t>
  </si>
  <si>
    <t>健康教育</t>
  </si>
  <si>
    <t>个体化健康教育</t>
  </si>
  <si>
    <t>元/人年</t>
  </si>
  <si>
    <t>医务人员在提供门诊医疗、上门访视等医疗卫生服务时，开展有针对性的个体化健康知识和健康技能教育发生的人力成本。</t>
  </si>
  <si>
    <t>发放印刷材料</t>
  </si>
  <si>
    <t>在候诊区、诊室、咨询台等处放置叫康教育折页、健康教育处方和健康手册；在公众健康咨询活动时发放宣传资料。含人力成本0.3元，其他成本0.1元。</t>
  </si>
  <si>
    <t>健康教育相关工作</t>
  </si>
  <si>
    <t>元/机构</t>
  </si>
  <si>
    <t>个机构</t>
  </si>
  <si>
    <t>印制健康教育宣传材料、制作音像资料、配置宣传栏、更换健康教育宣传栏内容、健康教育讲座、健康档案咨询活动等发生的耗材费用，开展健康教育相关工作发生的人力成本。</t>
  </si>
  <si>
    <t>社区卫生服务中心数量</t>
  </si>
  <si>
    <t>印制健康教育宣传材料、制作音像资料、配置宣传栏、更换健康教育宣传栏内容、健康教育讲座等发生的耗材费用，开展健康教育相关工作发生的人力成本。</t>
  </si>
  <si>
    <t>社区（村）卫生室数量</t>
  </si>
  <si>
    <t>预防接种</t>
  </si>
  <si>
    <t>建立预防接种证、卡</t>
  </si>
  <si>
    <t>人</t>
  </si>
  <si>
    <r>
      <rPr>
        <sz val="9"/>
        <color rgb="FF000000"/>
        <rFont val="仿宋_GB2312"/>
        <charset val="134"/>
      </rPr>
      <t>仅包含人力成本，</t>
    </r>
    <r>
      <rPr>
        <sz val="9"/>
        <color theme="1"/>
        <rFont val="仿宋_GB2312"/>
        <charset val="134"/>
      </rPr>
      <t>办理预防接种证卡耗材由疾控中心免费提供。</t>
    </r>
  </si>
  <si>
    <t>参照上年度建立预防接种证卡人数</t>
  </si>
  <si>
    <t>预防接种管理</t>
  </si>
  <si>
    <r>
      <rPr>
        <sz val="9"/>
        <color rgb="FF000000"/>
        <rFont val="仿宋_GB2312"/>
        <charset val="134"/>
      </rPr>
      <t>仅包含人力成本，</t>
    </r>
    <r>
      <rPr>
        <sz val="9"/>
        <color theme="1"/>
        <rFont val="仿宋_GB2312"/>
        <charset val="134"/>
      </rPr>
      <t>开展预防接种相关的通知单、告知单、底单免费提供。</t>
    </r>
  </si>
  <si>
    <t>参照上年度预防接种管理人数</t>
  </si>
  <si>
    <t>元/针次</t>
  </si>
  <si>
    <t>对儿童进行预防接种每个儿童6年内共接种1类疫苗23剂次发生的人力成本5.96元及其耗材0.04元/针次。</t>
  </si>
  <si>
    <t>参照上年度1类疫苗接种人数</t>
  </si>
  <si>
    <t>0-6岁儿童
健康管理</t>
  </si>
  <si>
    <t>新生儿家庭访视</t>
  </si>
  <si>
    <t>元/人次</t>
  </si>
  <si>
    <t>访视发生的包括建册、通知、交通费、健康体检、母乳喂养指导、家庭医生签约服务成本及人力成本65元和耗材费用5元，目标覆盖率达到90%</t>
  </si>
  <si>
    <t>总人口数*1%</t>
  </si>
  <si>
    <t>婴幼儿健康管理</t>
  </si>
  <si>
    <r>
      <rPr>
        <sz val="9"/>
        <rFont val="仿宋_GB2312"/>
        <charset val="134"/>
      </rPr>
      <t>0-30月龄儿童共计8次健康管理服务。包括人力成本8元，通知、健康体检、健康咨询、检查化验费、</t>
    </r>
    <r>
      <rPr>
        <sz val="9"/>
        <color indexed="10"/>
        <rFont val="仿宋_GB2312"/>
        <charset val="134"/>
      </rPr>
      <t>眼部和视力检查</t>
    </r>
    <r>
      <rPr>
        <sz val="9"/>
        <rFont val="仿宋_GB2312"/>
        <charset val="134"/>
      </rPr>
      <t>、家庭医生签约服务成本及其耗材7元。</t>
    </r>
  </si>
  <si>
    <t>3-6岁儿童健康管理</t>
  </si>
  <si>
    <r>
      <rPr>
        <sz val="9"/>
        <rFont val="仿宋_GB2312"/>
        <charset val="134"/>
      </rPr>
      <t>3-6周岁儿童共计4次健康管理服务。包括人力成本8元和通知、健康体检、健康咨询、检查化验费、</t>
    </r>
    <r>
      <rPr>
        <sz val="9"/>
        <color indexed="10"/>
        <rFont val="仿宋_GB2312"/>
        <charset val="134"/>
      </rPr>
      <t>眼部和视力检查</t>
    </r>
    <r>
      <rPr>
        <sz val="9"/>
        <rFont val="仿宋_GB2312"/>
        <charset val="134"/>
      </rPr>
      <t>、家庭医生签约服务成本及其耗材12元。</t>
    </r>
  </si>
  <si>
    <t>孕产妇健康
管理</t>
  </si>
  <si>
    <t>孕早期健康管理</t>
  </si>
  <si>
    <t>1、建立《母子健康手册》。2、一般体检、妇科检查，进行健康状况评估。3、孕早期生活方式、心理和营养保健指导。4、填写第 1 次产前检查服务记录表。人力成本（含家庭医生签约服务）20元，其他检查及材料成本40元。</t>
  </si>
  <si>
    <t>孕中期健康管理</t>
  </si>
  <si>
    <t>1、询问观察及体格检查、产科检查。2、孕妇和胎儿健康状况评估。3、进行孕期的生活方式、心理、运动和营养指导。4、填写产前随访记录表。人力成本（包含已签约家庭医生服务费）10元，其他检查及材料成本5元。</t>
  </si>
  <si>
    <t>孕晚期健康管理</t>
  </si>
  <si>
    <t>晚期健康教育和指导（开展孕产妇自我监护方法、促进自然分娩）。人力成本（包含已签约家庭医生服务费）10元，其他检查及材料成本5元。</t>
  </si>
  <si>
    <t>产后访视</t>
  </si>
  <si>
    <t>1、观察、询问和检查产妇一般情况。2、产褥期保健指导。3、通过观察、询问和检查了解新生儿的基本情况。4、填写产后访视记录表。5、随访出行往返平均时间。人力成本（含家庭医生签约服务）65元，其他检查及材料成本5元。</t>
  </si>
  <si>
    <t>产后42天健康检查</t>
  </si>
  <si>
    <t>在产妇家中进行，包括访视交通费、询问和检查其一般健康状况以及恢复情况、进行产褥期保健指导等人力成本及耗材。人力成本（含家庭医生签约服务）35元，其他检查及材料成本5元。</t>
  </si>
  <si>
    <t>老年人健康
管理</t>
  </si>
  <si>
    <t>老年人生活方式和健康状况评估</t>
  </si>
  <si>
    <t>对辖区65及以上老年人进行生活方式和健康状况评估，人力成本（含家庭医生签约服务）8元。</t>
  </si>
  <si>
    <t>总人口数*13.35%</t>
  </si>
  <si>
    <t>体格检查</t>
  </si>
  <si>
    <t>进行体温、脉搏、呼吸等常规体格检查、填写体检表。均为人力成本（包含已签约家庭医生服务费）。</t>
  </si>
  <si>
    <t>辅助检查</t>
  </si>
  <si>
    <t>包括血常规、尿常规、肝功能（血清谷草转氨酶、血清谷丙转氨酶和总胆红素）、肾功能（血清肌酐和血尿素氮）、空腹血糖、心电图检测和血脂（总胆固醇、甘油三酯、低密度脂蛋白胆固醇、高密度脂蛋白胆固醇）、腹部（肝胆胰脾）B超等耗材,材料成本100元，人力成本（含家庭医生签约服务）25元。</t>
  </si>
  <si>
    <t>健康指导</t>
  </si>
  <si>
    <t>告知体检结果并进行骨质疏松预防、防跌倒措施、意外伤害等预防健康指导。均为人力成本（包含已签约家庭医生服务费）。</t>
  </si>
  <si>
    <t>高血压患者
健康管理</t>
  </si>
  <si>
    <t>检查发现</t>
  </si>
  <si>
    <t>对辖区内35岁及以上常住居民，每年为其免费测量一次血压，人力成本（包含已签约家庭医生服务费）7.5元，其他成本0.5元。</t>
  </si>
  <si>
    <t>参照上年度首诊测血压人数</t>
  </si>
  <si>
    <t>随访评估</t>
  </si>
  <si>
    <t>对未签约家庭医生的原发性高血压患者，每年要提供至少4次面对面的随访，人力成本30元，其他成本5元。</t>
  </si>
  <si>
    <t>总人口数*11.11*30%</t>
  </si>
  <si>
    <t>对已签约家庭医生的原发性高血压患者，每年要提供至少4次面对面的随访，人力成本35元，其他成本5元。</t>
  </si>
  <si>
    <t>总人口数*11.11*70%</t>
  </si>
  <si>
    <t>健康体检</t>
  </si>
  <si>
    <t>对原发性高血压患者，每年进行1次较全面的健康检查，可与随访相结合。内容包括体温、脉搏、呼吸、血压、身高、体重、腰围、皮肤、浅表淋巴结、心脏、肺部、腹部等常规体格检查，并对口腔、视力、听力和运动功能等进行判断，材料成本3元，人力成本（包含已签约家庭医生服务费）20元。</t>
  </si>
  <si>
    <t>总人口数*11.11%</t>
  </si>
  <si>
    <t>2型糖尿病患者健康管理</t>
  </si>
  <si>
    <t>对工作中发现的2型糖尿病高危人群进行有针对性的健康教育，建议其每年至少测量1次空腹血糖，并接受医务人员的健康指导。人力成本（包含已签约家庭医生服务费）7.5元，其他成本0.5元</t>
  </si>
  <si>
    <t>参照上年度2型糖尿病高危人群进行健康教育的人数</t>
  </si>
  <si>
    <t>对未签约家庭医生确诊的2型糖尿病患者，每年提供4次免费空腹血糖检测，至少进行4次面对面随访，人力成本28元，其他成本7元。</t>
  </si>
  <si>
    <t>总人口数*4.34%*30%</t>
  </si>
  <si>
    <t>对已签约家庭医生确诊的2型糖尿病患者，每年提供4次免费空腹血糖检测，至少进行4次面对面随访，人力成本36元，其他成本4元。</t>
  </si>
  <si>
    <t>总人口数*4.34%*70%</t>
  </si>
  <si>
    <t>对确诊的2型糖尿病患者，每年进行1次较全面的健康体检，体检可与随访相结合。内容包括体温、脉搏、呼吸、血压、空腹血糖、身高、体重、腰围、皮肤、浅表淋巴结、心脏、肺部、腹部等常规体格检查，并对口腔、视力、听力和运动功能等进行判断，人力成本（包含已签约家庭医生服务费）19元，其他成本6元。</t>
  </si>
  <si>
    <t>总人口数*4.34%</t>
  </si>
  <si>
    <t>严重精神障碍患者管理</t>
  </si>
  <si>
    <t>信息管理</t>
  </si>
  <si>
    <t>在将严重精神障碍患者纳入管理时，需由家属提供或直接转自原承担治疗任务的专业医疗卫生机构的疾病诊疗相关信息，同时为患者进行一次全面评估，为其建立居民健康档案，并按照要求填写严重精神障碍患者个人信息补充表。人力成本（包含已签约家庭医生服务费）14.9元，材料成本0.1元。</t>
  </si>
  <si>
    <t>总人口数*4‰</t>
  </si>
  <si>
    <t>对应管理的未签约家庭医生的严重精神障碍患者每年至少随访4次，每次随访应对患者进行危险性评估；检查患者的精神状况，包括感觉、知觉、思维、情感和意志行为、自知力等；询问和评估患者的躯体疾病、社会功能情况、服药情况及各项实验室检查结果等。人力成本30元，其他成本5元。</t>
  </si>
  <si>
    <t>在患者病情许可的情况下，征得监护人与（或）患者本人同意后，每年进行1次健康检查，可与随访相结合。内容包括一般体格检查、血压、体重、血常规(含白细胞分类)、转氨酶、血糖、心电图。人力成本（包含已签约家庭医生服务费）48元，其他成本7元。</t>
  </si>
  <si>
    <t>中医药健康
管理</t>
  </si>
  <si>
    <t>老年人体质辨识</t>
  </si>
  <si>
    <t>对65岁及以上老年人进行中医体质辨识和中医健康指导，人力成本（包含已签约家庭医生服务费）14.6元，其他成本0.4元。</t>
  </si>
  <si>
    <t>0-3岁儿童中医调养</t>
  </si>
  <si>
    <t>对儿童6、12、18、24、30、36月龄儿童进行中医调养，包括饮食起居和捏脊穴位按摩等综合指导。人力成本（包含已签约家庭医生服务费）14.6元，其他成本0.4元。</t>
  </si>
  <si>
    <t>总人口数*3%</t>
  </si>
  <si>
    <t>肺结核患者
健康管理</t>
  </si>
  <si>
    <t>可疑推介转诊</t>
  </si>
  <si>
    <t>元/人</t>
  </si>
  <si>
    <t>对辖区内前来就诊的居民或患者，尤其是65岁及以上老年人和糖尿病患者等结核病重点人群主动开展筛查。</t>
  </si>
  <si>
    <t>总人口数*90/10万（患病率）</t>
  </si>
  <si>
    <t>一般患者随访</t>
  </si>
  <si>
    <t>元/人半年</t>
  </si>
  <si>
    <t>对疾控中心通知社区管理的已签约家庭医生的一般患者进行定期随访，均为人力成本。</t>
  </si>
  <si>
    <t>根据发病率0.03%估算</t>
  </si>
  <si>
    <t>耐多药患者随访</t>
  </si>
  <si>
    <t>对疾控中心通知社区管理的耐多药患者进行定期随访，均为人力成本。</t>
  </si>
  <si>
    <t>根据上年度耐多药患者估算</t>
  </si>
  <si>
    <t>传染病及突发公共卫生事件报告和处理</t>
  </si>
  <si>
    <t>传染病疫情与突发公共卫生事件风险管理</t>
  </si>
  <si>
    <t>协助开展传染病疫情和突发公卫生事件风险排查、收集和提供风险信息，参与风险评估和本机构应急预案制（修）订所需交通通讯费及人力成本</t>
  </si>
  <si>
    <t>传染病和突发公共卫生事件的发现、登记</t>
  </si>
  <si>
    <t xml:space="preserve"> 规范填写分诊记录、门诊日志检查结果，填写《中华人民共和国传染病报告卡》/《突发公共卫生事件相关信息报告卡》，</t>
  </si>
  <si>
    <t>传染病和突发公共卫生事件相关信息报告</t>
  </si>
  <si>
    <t>网络直报</t>
  </si>
  <si>
    <t>传染病和突发公共卫生事件的处理</t>
  </si>
  <si>
    <t>采取隔离、医学观察等措施，书写医学记录及其他有关资料，协助开展传染病接触者或其他危害暴露人员的追踪、查找，开展流行病学调查、疫点疫区处理、应急接种和预防性服药、开展相关知识技能和法律法规的宣传教育。</t>
  </si>
  <si>
    <t>基层医疗机构开展新冠疫情防控工作</t>
  </si>
  <si>
    <t>统筹用于基层医疗卫生机构开展新冠肺炎疫情防控的人员经费、公用经费等支出。</t>
  </si>
  <si>
    <t>12</t>
  </si>
  <si>
    <t>卫生监督协管</t>
  </si>
  <si>
    <t>食源性疾病及相关信息报告</t>
  </si>
  <si>
    <t>饮用水卫生安全巡查</t>
  </si>
  <si>
    <t>学校卫生服务</t>
  </si>
  <si>
    <t>非法行医和非法采供血信息报告</t>
  </si>
  <si>
    <t>计划生育相关信息报告</t>
  </si>
  <si>
    <t>制表人：</t>
  </si>
  <si>
    <t>2025年清池中心基本医疗服务测算（30元）                 单位：元</t>
  </si>
  <si>
    <t>服务项目</t>
  </si>
  <si>
    <t>服务率%</t>
  </si>
  <si>
    <t>服务次数</t>
  </si>
  <si>
    <t>总金额</t>
  </si>
  <si>
    <t>人均</t>
  </si>
  <si>
    <t>备注：总人口101000</t>
  </si>
  <si>
    <t>尿酸</t>
  </si>
  <si>
    <t>对65岁及以上老年人免费提供</t>
  </si>
  <si>
    <t>双肾彩超</t>
  </si>
  <si>
    <t>血糖</t>
  </si>
  <si>
    <t>对糖尿病患者免费提供</t>
  </si>
  <si>
    <t>对非糖尿病患者免费提供</t>
  </si>
  <si>
    <t>疾病健康教育及健康咨询（健康教育处方）</t>
  </si>
  <si>
    <t>对全人群免费提供</t>
  </si>
  <si>
    <t>诊疗费（医疗处方）</t>
  </si>
  <si>
    <t>对全人群免费提供，医保报销就诊人数占全部就诊人数的60%（注射及输液费按规定收取）</t>
  </si>
  <si>
    <t>对全人群免费提供，非医保报销就诊人数占全部就诊人数的40%（注射及输液费按规定收取）</t>
  </si>
  <si>
    <t>中医贴敷</t>
  </si>
  <si>
    <t>对0-6岁儿童提供，常见疾病治疗每天2贴，每人免费一个疗程3天总计6贴</t>
  </si>
  <si>
    <t>中医推拿</t>
  </si>
  <si>
    <t>对0-6岁儿童提供，用于疾病的预防及治疗。每人免费提供3天推拿服务，每天一次</t>
  </si>
  <si>
    <t>新城中心基本公共卫生服务项目经费测算表（2025年）</t>
  </si>
  <si>
    <t>基础版</t>
  </si>
  <si>
    <t>经费测算</t>
  </si>
  <si>
    <t>工作任务</t>
  </si>
  <si>
    <t>街村两级分工</t>
  </si>
  <si>
    <t>三级协同分工</t>
  </si>
  <si>
    <t>绩效评价要点</t>
  </si>
  <si>
    <t>项目内容</t>
  </si>
  <si>
    <t>人口数</t>
  </si>
  <si>
    <t>绩效
目标值</t>
  </si>
  <si>
    <t>任务
目标值</t>
  </si>
  <si>
    <t>任务目标或预算管理数量</t>
  </si>
  <si>
    <t>单位</t>
  </si>
  <si>
    <t>单价
（元）</t>
  </si>
  <si>
    <t>项目金额
（元）</t>
  </si>
  <si>
    <t>人均单价
（元）</t>
  </si>
  <si>
    <t>单价占比
（100%）</t>
  </si>
  <si>
    <t>项目切块资金总额
（元）</t>
  </si>
  <si>
    <t>项目切块人均单价
（元）</t>
  </si>
  <si>
    <t>项目切块资金占比
（%）</t>
  </si>
  <si>
    <t>签约服务费
总额
（元）</t>
  </si>
  <si>
    <t>签约服务费人均单价（元）</t>
  </si>
  <si>
    <t>签约服务费在该项目中占比</t>
  </si>
  <si>
    <t>街</t>
  </si>
  <si>
    <t>村</t>
  </si>
  <si>
    <t>一级</t>
  </si>
  <si>
    <t>二级</t>
  </si>
  <si>
    <t>三级</t>
  </si>
  <si>
    <t>绩效评价指标</t>
  </si>
  <si>
    <t>绩效评价结果应用</t>
  </si>
  <si>
    <t>1.居民健康档案管理</t>
  </si>
  <si>
    <t>新建居民健康档案</t>
  </si>
  <si>
    <t>－</t>
  </si>
  <si>
    <t>1.为辖区内常住居民(居住半年以上的户籍及非户籍居民)建立健康档案，内容包括个人基本信息、健康体检、重点人群健康管理记录和其他医疗卫生服务记录。
2.进行建档健康体检：包括一般健康检查、生活方式、健康状况及其疾病用药情况、健康评价等。
3.对项目开展宣传，引导居民建立健康档案。</t>
  </si>
  <si>
    <t>1.含人力、材料费、通讯费、血型测试材料、数据采集和更新、督导、培训等成本。
2.新建档案测算数量参考往年实际新建档数量，结合最新政策要求和当地工作实际确定。
3.档案更新（复核维护）目标任务测算按照一般人群建档数占总建档数的百分比，测算当年无使用记录的档案数量，即：需要开展档案复核的数量。</t>
  </si>
  <si>
    <t>为主承担。建立居民健康档案，开展档案复核维护工作，及时录入电子信息系统。为新建档案的居民测血型。进行档案使用和档案更新。</t>
  </si>
  <si>
    <t xml:space="preserve">为辅承担。
</t>
  </si>
  <si>
    <r>
      <rPr>
        <b/>
        <sz val="6"/>
        <rFont val="仿宋_GB2312"/>
        <charset val="134"/>
      </rPr>
      <t xml:space="preserve">1.数量指标：
</t>
    </r>
    <r>
      <rPr>
        <sz val="6"/>
        <rFont val="仿宋_GB2312"/>
        <charset val="134"/>
      </rPr>
      <t xml:space="preserve">电子健康档案建档率=建立电子健康档案的人数/辖区内常住居民数×100%。（90%）
</t>
    </r>
    <r>
      <rPr>
        <b/>
        <sz val="6"/>
        <rFont val="仿宋_GB2312"/>
        <charset val="134"/>
      </rPr>
      <t xml:space="preserve">
2.质量指标：
</t>
    </r>
    <r>
      <rPr>
        <sz val="6"/>
        <rFont val="仿宋_GB2312"/>
        <charset val="134"/>
      </rPr>
      <t xml:space="preserve">居民规范化电子健康档案覆盖率=居民规范化电子健康档案覆盖人数/辖区内常住居民数×100%。（62%）
</t>
    </r>
    <r>
      <rPr>
        <b/>
        <sz val="6"/>
        <rFont val="仿宋_GB2312"/>
        <charset val="134"/>
      </rPr>
      <t xml:space="preserve">
3.效果指标：
</t>
    </r>
    <r>
      <rPr>
        <sz val="6"/>
        <rFont val="仿宋_GB2312"/>
        <charset val="134"/>
      </rPr>
      <t>居民健康档案动态使用率=健康档案中有动态记录的档案分数/档案总份数。（60%）</t>
    </r>
  </si>
  <si>
    <r>
      <rPr>
        <b/>
        <sz val="6"/>
        <rFont val="仿宋_GB2312"/>
        <charset val="134"/>
      </rPr>
      <t xml:space="preserve">要求：
</t>
    </r>
    <r>
      <rPr>
        <sz val="6"/>
        <rFont val="仿宋_GB2312"/>
        <charset val="134"/>
      </rPr>
      <t>1.绩效评价应体现指标完成的数量和质量情况。
2.符合《国家基本公共卫生服务项目绩效考核指导指导方案》（2015年35号）文件相关要求。
3.可借鉴国家绩效评价质量系数法：机构考核得分/全部机构考核得分总分×100%，或某项目某机构考核得分/某项目所有机构得分×100%。</t>
    </r>
  </si>
  <si>
    <t>档案复核维护</t>
  </si>
  <si>
    <t>对年内已建健康档案进行年度复核维护。</t>
  </si>
  <si>
    <t>档案开放查询</t>
  </si>
  <si>
    <t>1.对已建档居民就诊或复诊时，查阅健康档案和随访记录、以往就诊记录，进行诊间随访和签约服务，并将就诊情况和服务情况及时更新、补充到健康档案。
2.对于需要转诊、会诊的服务对象，填写转诊、会诊记录。
3.通过自动上传、共享或录入等方式，实现诊疗信息、健康体检、重点人群健康管理记录、接种信息共享的电子健康档案数量。4.引导已建档居民注册自主查询健康档案，及时反馈健康信息。</t>
  </si>
  <si>
    <t>2.健康教育</t>
  </si>
  <si>
    <t>印刷和发放健康教育资料</t>
  </si>
  <si>
    <t>包括健康教育折页、健康教育处方和健康手册等。放置在乡镇卫生院、村卫生室、社区卫生服务中心（站）的候诊区、诊室、咨询台等处。</t>
  </si>
  <si>
    <t>1.含人力、材料费、通讯费、设计费、展板制作、印刷费、授课费、交通费、场租费、健教物品材料、照相、摄影、录音等费用等。
2.健康教育材料印刷和发放数量不低于辖区人口数的50%。</t>
  </si>
  <si>
    <t>分别承担。
每年更换宣传栏12次；开展健康教育讲座每月1期；开展公众咨询活动9期；播放音像资料；印制宣传材料；开展个性化健康教育和健康积分活动。</t>
  </si>
  <si>
    <t>分别承担。
每年更换宣传栏6次；开展健康教育讲座每2月1期；发放宣传材料；开展个性化健康教育。</t>
  </si>
  <si>
    <r>
      <rPr>
        <b/>
        <sz val="6"/>
        <rFont val="仿宋_GB2312"/>
        <charset val="134"/>
      </rPr>
      <t>数量指标：</t>
    </r>
    <r>
      <rPr>
        <sz val="6"/>
        <rFont val="仿宋_GB2312"/>
        <charset val="134"/>
      </rPr>
      <t xml:space="preserve">
1.每年发放不少于12种健康教育印刷材料。
2.卫生院和社区卫生服务中心每年播放不少于6种的健康教育音像材料。
3.卫生院和社区卫生服务中心设置宣传栏不少于2个，卫生室和社区卫生服务站设置宣传栏不少于1个，均每2个月更换至少1次。
4.卫生院和社区卫生服务中心每年开展公众咨询活动至少9次。
5.卫生和社区卫生服务中心每月至少举办1次健康知识讲座。卫生室和社区卫生服务站每两个月至少举办1次健康知识讲座。</t>
    </r>
  </si>
  <si>
    <r>
      <rPr>
        <b/>
        <sz val="6"/>
        <rFont val="仿宋_GB2312"/>
        <charset val="134"/>
      </rPr>
      <t>要求：</t>
    </r>
    <r>
      <rPr>
        <sz val="6"/>
        <rFont val="仿宋_GB2312"/>
        <charset val="134"/>
      </rPr>
      <t xml:space="preserve">
1.绩效评价应体现指标完成的数量和质量情况。
2.符合《国家基本公共卫生服务项目绩效考核指导指导方案》（2015年35号）文件相关要求。
3.可借鉴国家绩效评价质量系数法：机构考核得分/全部机构考核得分总分×100%，或某项目某机构考核得分/某项目所有机构得分×100%。</t>
    </r>
  </si>
  <si>
    <t>播放音像资料</t>
  </si>
  <si>
    <t>机构/点位</t>
  </si>
  <si>
    <t>在正常应诊的时间内，在门诊候诊区、观察室、健教室等场所或宣传活动现场播放视听传播资料，如VCD、DVD、健康教育云盒、U盘等各种影音视频资料。</t>
  </si>
  <si>
    <t>设置健康教育宣传栏并更新</t>
  </si>
  <si>
    <t>期数</t>
  </si>
  <si>
    <t>1.在机构户外、健康教育室、候诊室、输液室或收费大厅的明显位置设置健康教育宣传栏，卫生院和社区卫生服务中心宣传栏不少于2个，村卫生室和社区卫生服务站宣传栏不少于1个。
2.每个宣传栏的面积不少于2平方米。宣传栏中心位置距地面1.5～1.6米高。
3.每个机构每2个月最少更换1次健康教育宣传栏内容。</t>
  </si>
  <si>
    <t>开展公众健康咨询活动</t>
  </si>
  <si>
    <t>次</t>
  </si>
  <si>
    <t>1.利用各种健康主题日或针对辖区重点健康问题，开展健康咨询活动并发放宣传资料。
2.卫生院和社区卫生服务中心每年至少开展9次公众健康咨询活动。</t>
  </si>
  <si>
    <t>举办健康知识讲座</t>
  </si>
  <si>
    <t>1.卫生院和社区卫生服务中心每月举办1次健康知识讲座，村卫生室和社区卫生服务站每两个月至少举办1次健康知识讲座。
2.引导居民学习、掌握健康知识及必要的健康技能，促进辖区内居民的身心健康。</t>
  </si>
  <si>
    <t>3.孕产妇健康管理</t>
  </si>
  <si>
    <t>孕早期建立《母子健康手册》进行产前随访</t>
  </si>
  <si>
    <t>1.孕13周前为孕妇建立《母子健康手册》，并进行第1次产前随访。
2.开展孕妇健康状况评估：询问既往史、家族史、个人史等，观察体态、精神等，并进行一般体检、妇科检查和血常规、尿常规、血型、肝功能、肾功能、乙型肝炎。
3.告知和督促孕妇进行产前筛查，对筛出的高风险者及时追踪，督促其进行产前诊断，并随访记录结果。</t>
  </si>
  <si>
    <t>1.含人力、材料费、通讯费、交通费、实验室检查、数据采集和更新、督导、培训等成本。
2.年度任务目标测算数量按照当年中央区域绩效目标表和当地人口发生率及出生率，结合工作实际制定。</t>
  </si>
  <si>
    <t>为主承担。
印制有关纸质材料，按照规范开展孕产妇健康管理各项工作，督促2-5次产前检查，及时录入电子信息系统。</t>
  </si>
  <si>
    <t>为辅承担。
建立辖区孕产妇管理底册，及时通知辖区孕产妇到街道卫生院接受健康管理；协助卫生院和社区卫生服务中心医师开展入户访视。开展健康教育和档案开放查询指导。</t>
  </si>
  <si>
    <r>
      <rPr>
        <b/>
        <sz val="6"/>
        <rFont val="仿宋_GB2312"/>
        <charset val="134"/>
      </rPr>
      <t>数量指标：</t>
    </r>
    <r>
      <rPr>
        <sz val="6"/>
        <rFont val="仿宋_GB2312"/>
        <charset val="134"/>
      </rPr>
      <t xml:space="preserve">
1.早孕建册率=辖区内孕13周之前建册并进行第一次产前检查的人数/该地该时间段内活产数×100%。（90%）
2.产后访视率=辖区内产妇出院后28天内接受过产后访视的产妇人数/该地该时间段内活产数×100%。（90%）
3.孕产妇系统管理率：90%。
</t>
    </r>
    <r>
      <rPr>
        <b/>
        <sz val="6"/>
        <rFont val="仿宋_GB2312"/>
        <charset val="134"/>
      </rPr>
      <t>签约指标：</t>
    </r>
    <r>
      <rPr>
        <sz val="6"/>
        <rFont val="仿宋_GB2312"/>
        <charset val="134"/>
      </rPr>
      <t xml:space="preserve">
孕产妇签约服务率=已签约孕产妇人数/辖区年内孕产妇总数×100%。（70%或较往年提高5%）。</t>
    </r>
  </si>
  <si>
    <t>孕期健康管理（16～20周、21～24周、28～36周、37-40周）</t>
  </si>
  <si>
    <t>1.进行孕中期（孕16～20周）健康教育和指导。进行孕妇健康状况评估：通过询问、观察、一般体格检查、产科检查、实验室检查对孕妇健康和胎儿的生长发育状况进行评估，识别需要做产前诊断和需要转诊的高危重点孕妇。
2.进行孕中期（孕21～24周）健康教育和指导。孕妇健康状况评估：通过询问、观察、一般体格检查、产科检查、实验室检查对孕妇健康和胎儿的生长发育状况进行评估，识别需要做产前诊断和需要转诊的高危重点孕妇。
3.进行孕晚期（孕28～36周）健康教育和指导。开展孕产妇自我监护方法、促进自然分娩、母乳喂养以及孕期并发症、合并症防治指导。
4.进行孕晚期（孕37～40周）健康教育和指导。开展孕产妇自我监护方法、促进自然分娩、母乳喂养以及孕期并发症、合并症防治指导。</t>
  </si>
  <si>
    <t>产后7天入户访视</t>
  </si>
  <si>
    <t>1.出院后1周内到产妇家中进行产后访视，进行产褥期健康管理，开展母乳喂养和新生儿护理指导,同时进行新生儿访视。
2.观察、询问和检查，了解产妇一般情况、乳房、子宫、恶露、会阴或腹部伤口恢复等情况；对母乳喂养困难、产后便秘、痔疮、会阴或腹部伤口等问题进行处理。                            3。签约家庭医生并年度内在本机构有基本医疗、胎心监护、产后康复等服务，有日常咨询、预约就诊或精准转诊记录等。</t>
  </si>
  <si>
    <t>产后42天检查及家庭医生签约服务</t>
  </si>
  <si>
    <t>为正常产妇做产后健康检查，进行询问、观察、一般体检和妇科检查。签约家庭医生并年度内在本机构有基本医疗、胎心监护、产后康复等服务，有日常咨询、预约就诊或精准转诊记录等。</t>
  </si>
  <si>
    <t>4.0-6岁儿童健康管理</t>
  </si>
  <si>
    <t>1.于新生儿出院后１周内到新生儿家中进行新生儿访视，同时进行产后访视。
2.了解出生时情况、预防接种情况，在开展。观察家居环境，询问和观察喂养、睡眠、大小便、黄疸、脐部情况、口腔发育等。
3.为新生儿测量体温、记录出生时体重、身长，进行体格检查，</t>
  </si>
  <si>
    <t>1.含人力、材料费、通讯费、交通费、实验室检查、数据采集和更新、督导、培训等成本。
2.年度任务目标测算数量按照当年中央区域绩效目标表和当地人口发生率及出生率，结合工作实际制定。
3.0-36月龄儿童眼睛检查，一级医院收费标准为1元/次。
4.4-6岁儿童眼位检查及眼球运动（眼外肌功能，含眼球运动、歪头试验、集合与散开）检查，一级医院收费标准为10元/次。
5.4-6岁儿童普通视力检查，一级医院收费标准为1元/次。
6.儿童斜弱视的发病率4%，筛查阳性儿童发生率为4%，按照规范要求阳性追踪随访率90%测算。</t>
  </si>
  <si>
    <t>为主承担。
印制有关纸质材料，按照规范开展儿童健康管理各项工作，及时录入电子信息系统。</t>
  </si>
  <si>
    <t>为辅承担。
建立辖区儿童管理底册，及时通知辖区适龄儿童到街道卫生院接受健康管理；协助卫生院和社区卫生服务中心医师开展入户访视。开展健康教育和档案开放查询指导。</t>
  </si>
  <si>
    <r>
      <rPr>
        <b/>
        <sz val="6"/>
        <rFont val="仿宋_GB2312"/>
        <charset val="134"/>
      </rPr>
      <t>数量指标：</t>
    </r>
    <r>
      <rPr>
        <sz val="6"/>
        <rFont val="仿宋_GB2312"/>
        <charset val="134"/>
      </rPr>
      <t xml:space="preserve">
1.新生儿访视率=年度辖区内接受1次及以上访视的新生儿人数/年度辖区内活产数×100%。（90%）
2.儿童健康管理率=年度辖区内接受1次及以上随访的0-6岁儿童人数/辖区内0-6岁儿童数×100%。（90%）
3.0-6岁儿童眼保健和视力检查覆盖率=年度辖区内接受1次及以上眼保健和视力检查的0-6岁儿童人数/辖区内0-6岁儿童数×100%。（90%）。
4.7岁以下儿童健康管理率：85%。
5.3岁以下儿童系统管理率：80%。
</t>
    </r>
    <r>
      <rPr>
        <b/>
        <sz val="6"/>
        <rFont val="仿宋_GB2312"/>
        <charset val="134"/>
      </rPr>
      <t>签约指标：</t>
    </r>
    <r>
      <rPr>
        <sz val="6"/>
        <rFont val="仿宋_GB2312"/>
        <charset val="134"/>
      </rPr>
      <t xml:space="preserve">
0-6岁儿童签约服务率=已签约0-6岁儿童数/辖区0-6岁儿童总数×100%。（70%或较往年提高5%）。</t>
    </r>
  </si>
  <si>
    <t>新生儿满月健康管理</t>
  </si>
  <si>
    <t>1.于新生儿出生后28～30天，结合接种乙肝疫苗第二针，在基层医疗机构进行随访。
2.询问和观察新生儿的喂养、睡眠、大小便、黄疸等情况，对其进行体重、身长、头围测量、体格检查，对家长进行喂养、发育、防病指导。</t>
  </si>
  <si>
    <t>人次</t>
  </si>
  <si>
    <t>1.分别在3、6、8、12、18、24、30、36月龄时，共8次。服务内容包括：询问上次随访到本次随访之间的婴幼儿喂养、患病等情况，进行体格检查，做生长发育和心理行为智力发育评估，进行科学喂养（合理膳食）、生长发育、疾病预防、预防伤害、口腔保健等健康指导。
2.在婴幼儿6～8、18、30月龄时分别进行1次血常规（或血红蛋白）检测。
3.在6、12、24、36月龄时使用行为测听法分别进行1次听力筛查。</t>
  </si>
  <si>
    <t>0-6岁儿童眼保健和视力检查</t>
  </si>
  <si>
    <t>开展0-36月龄儿童眼睛检查，包括：光照反应、对方反射、目光接触、红球试验、视物行为。一级医院收费标准为1元/次。</t>
  </si>
  <si>
    <t>4-6岁学龄前儿童健康管理</t>
  </si>
  <si>
    <t>1.为4～6岁儿童每年提供一次健康管理服务。
2.服务内容包括询问上次随访到本次随访之间的膳食、患病等情况，进行体格检查和心理行为智力发育评估，血常规（或血红蛋白）检测和视力筛查，进行合理膳食、生长发育、疾病预防、预防伤害、口腔保健等健康指导。</t>
  </si>
  <si>
    <t>健康问题处理及家庭医生签约服务</t>
  </si>
  <si>
    <t>1.对健康管理中发现的有营养不良、贫血、单纯性肥胖等情况的儿童应当分析其原因，给出指导或转诊的建议。
2.对心理行为发育偏异、智力发育低下、口腔发育异常（唇腭裂、诞生牙）、龋齿、视力低常或听力异常儿童等情况应及时转诊并追踪随访转诊后结果。
3.对视力筛查阳性儿童进行追踪随访。4.签约家庭医生并年度内在本机构有基本医疗、口腔保健等服务，有日常咨询、预约就诊或精准转诊记录等。
5.通过家庭医生签约服务，加强儿童保健和基本医疗服务，提供家庭科学育儿指导服务。</t>
  </si>
  <si>
    <t>5.预防接种</t>
  </si>
  <si>
    <t>1.为辖区内所有居住满3个月的0～6岁儿童建立预防接种证和预防接种卡(簿)等儿童预防接种档案。
2.每季度对辖区内儿童的预防接种卡（簿）进行1次核查和整理，查缺补漏，并及时进行补种。
3.优化接种空间布局和流程。</t>
  </si>
  <si>
    <t>1.含人力、材料费、通讯费、交通费、数据采集和更新、一次性物品消耗、与相关部门的协作、培训、指导费用等。
2.接种数量按照26针次/儿童测算，结合往年工作实际参考制定。
3.预防接种异常反应率按照万分之一测算。</t>
  </si>
  <si>
    <t>独立承担。</t>
  </si>
  <si>
    <t>不承担。</t>
  </si>
  <si>
    <r>
      <rPr>
        <b/>
        <sz val="6"/>
        <rFont val="仿宋_GB2312"/>
        <charset val="134"/>
      </rPr>
      <t>数量指标：</t>
    </r>
    <r>
      <rPr>
        <sz val="6"/>
        <rFont val="仿宋_GB2312"/>
        <charset val="134"/>
      </rPr>
      <t xml:space="preserve">
1.建证率。年度辖区内已建立预防接种证人数/年度辖区内应建立预防接种证人数×100%。（90%）
2.某种疫苗接种率=年度辖区内某种疫苗实际接种人数/年度辖区内某种疫苗应接种人数×100%。（90%）</t>
    </r>
  </si>
  <si>
    <t>针次</t>
  </si>
  <si>
    <t>根据国家免疫规划疫苗免疫程序，对适龄儿童进行常规接种。</t>
  </si>
  <si>
    <t>疑似预防接种异常反应处理</t>
  </si>
  <si>
    <t>对发现的疑似预防接种异常反应，按照《全国疑似预防接种异常反应监测方案》的要求进行处理和报告。</t>
  </si>
  <si>
    <t>6.老年人健康管理</t>
  </si>
  <si>
    <t>预约宣传</t>
  </si>
  <si>
    <t>对老年人进行体检组织和发动，优化流程，加强质量控制。</t>
  </si>
  <si>
    <t>1.含人力、材料费、通讯费、交通费、实验室检查、数据采集和更新、督导、培训等成本。
2.老年人发生率按照8.72%测算。
3.腹部超声检查、心电图和实验室检查经费标准参照一级医院收费标准制定。
4.老年人体检异常转诊管理暂按照应规范管理的老年人数的5%测算。
5.老年人签约数量指标按照应规范管理的老年人数测算。</t>
  </si>
  <si>
    <t>分别承担。
印制有关纸质材料，按照规范开展老年人体检工作，审核并出具体检报告，进行体检结果反馈。及时上传或录入至电子信息系统。</t>
  </si>
  <si>
    <t>分别承担。
建立辖区老年人管理底册。开展体检组织、宣传、发动工作，协助家庭医生团队长做好体检报告反馈工作。开展健康教育和档案开放查询指导。</t>
  </si>
  <si>
    <t>1.对老年人进行体检组织和发动。
2.参加老年人体检听诊、问诊、心电图判断、体检报告出具和审核、体检报告反馈、药物调整等工作。
3.对老年人进行健康生活方式以及疫苗接种、骨质疏松预防、防跌倒措施、意外伤害预防和自救、认知和情感等健康指导。应用中医药方法为老年人提供养生保健、疾病防治等健康指导。
4.每次服务后面对面反馈体检结果，并进行健康指导。
5.对体检发现的患有其他疾病的居民，及时上转确诊治疗或转诊。
6.加强宣传，告知服务内容，使更多的老年人愿意接受服务。
7.对签约的老年人按照服务协议完成基本医疗服务。</t>
  </si>
  <si>
    <t>1.参加老年人体检听诊、问诊、心电图判断、体检报告出具和审核、体检报告反馈、药物调整等工作。
2.以团队形式参与体检信息采集、实验室检查采血、心电图机操作等现场体检。
3.每次服务后协助一级团队面对面反馈体检结果，并进行健康指导。
4.对一级团队上转的体检发现的患有其他疾病的居民，及时治疗。</t>
  </si>
  <si>
    <t>1.对二级团队上转的患者及时进行治疗和参与健康管理。需要时预约床位和大型设备检查。
2.对符合下转条件的患者，及时转诊至下级团队进行健康管理。
3.对一二级团队开展业务指导和协同服务支持。</t>
  </si>
  <si>
    <r>
      <rPr>
        <b/>
        <sz val="6"/>
        <rFont val="仿宋_GB2312"/>
        <charset val="134"/>
      </rPr>
      <t>1.数量质量指标：</t>
    </r>
    <r>
      <rPr>
        <sz val="6"/>
        <rFont val="仿宋_GB2312"/>
        <charset val="134"/>
      </rPr>
      <t xml:space="preserve">
65岁及以上老年人城乡社区规范健康管理服务率=65岁及以上老年人城乡社区规范健康管理服务人数/年内辖区内65岁及以上常住居民数×100%。（62%）
注：接受健康管理是指建立了健康档案、接受了健康体检、健康指导、健康体检表填写完整。
2.</t>
    </r>
    <r>
      <rPr>
        <b/>
        <sz val="6"/>
        <rFont val="仿宋_GB2312"/>
        <charset val="134"/>
      </rPr>
      <t>数量指标：</t>
    </r>
    <r>
      <rPr>
        <sz val="6"/>
        <rFont val="仿宋_GB2312"/>
        <charset val="134"/>
      </rPr>
      <t xml:space="preserve">
65岁及以上老年人签约率=年度内签约家庭医生的老年人数/年内辖区内65岁及以上常住居民数×100%。（70%或较往年提高5%）。</t>
    </r>
  </si>
  <si>
    <t>生活方式和健康状况评估</t>
  </si>
  <si>
    <t>通过问诊及老年人健康状态自评了解其基本健康状况、体育锻炼、饮食、吸烟、饮酒、慢性疾病常见症状、既往所患疾病、治疗及目前用药等情况。</t>
  </si>
  <si>
    <t>老年人生活自理能力、认知功能和情感状况初筛评估</t>
  </si>
  <si>
    <t>开展老年人认知功能初筛和生活自理能力评估服务，鼓励有条件的地区采用信息化手段将评估表插入健康档案信息系统，医务人员可在随访时直接操作填写。对初筛结果异常的老年人，指导其到上级医疗机构复查。</t>
  </si>
  <si>
    <t>体格检查+辅助检查</t>
  </si>
  <si>
    <t>包括体温、脉搏、呼吸、血压、身高、体重、腰围、皮肤、浅表淋巴结、肺部、心脏、腹部等常规体格检查，并对口腔、视力、听力和运动功能等进行粗测判断。</t>
  </si>
  <si>
    <t>体检报告、健康评估结果反馈、家庭医生签约服务</t>
  </si>
  <si>
    <t xml:space="preserve">1.对老年人个人体检报告进行分析，形成当年体检反馈报告；报告内容全面、报告分析科学规范，有往年数据对比。
2.每次服务后面对面反馈体检结果，并进行健康指导。
3.通过公众号、APP等对档案和体检结果进行公开。                        4.对老年人进行签约，并年度内在本机构有基本医疗、口腔保健、中医药服务及日常咨询、预约就诊或精准转诊记录。
</t>
  </si>
  <si>
    <t>形成年度辖区老年人健康状况分析报告（首席公卫医师）</t>
  </si>
  <si>
    <t>1.每年开展辖区老年人健康检查数据分析，了解影响辖区老年人主要疾病和健康影响因素，进一步明确健康教育和行为干预的方向，有针对性制定满足老年人需求的签约服务包。
2.形成年度体检分析报告。报告数据准确、分析科学，有往年数据对比，主要健康问题、结论、建议等要素齐全。</t>
  </si>
  <si>
    <t>7.1高血压患者健康管理</t>
  </si>
  <si>
    <t>35岁及以上常住居民免费测量血压</t>
  </si>
  <si>
    <t>1.对辖区内35岁及以上常住居民，每年为其免费测量一次血压。
2.对确诊的高血压患者及时纳入管理。</t>
  </si>
  <si>
    <t>1.含人力、材料费、通讯费、交通费、实验室检查、数据采集和更新、督导、培训等成本。
2.年度任务目标测算数量按照当年中央区域绩效目标表和当年任务数，结合工作实际制定。
3.35岁以上人群占比按照52.63%测算。已建档人群中高血压高危患者数按照建档总数中35岁以上居民占52.63%比例的40%为高危人群测算。
4.高血压应管理数按照43%测算，待任务数分配后按照下达任务数执行。
5.诊间随访目标任务数暂按照规范管理高血压患者的50%测算。
6.高血压签约数量指标按照应规范管理的高血压患者数测算。
7.高血压低危管理目标人群暂按照应规范管理人数的60%测算；高血压中危管理目标人群暂按照应规范管理人数的30%测算；高血压高危管理目标人群暂按照应规范管理人数的10%测算。</t>
  </si>
  <si>
    <t>为主承担。
印制随访表单和工作台账，协助乡医对控制不满意患者进行管理，指导“三高共管”一体化分级服务。</t>
  </si>
  <si>
    <t>为辅承担。
开展年度体检和季度随访工作，及时录入电子信息系统。开展健康教育和档案开放查询指导。</t>
  </si>
  <si>
    <t>1.对辖区内35岁及以上常住居民，每年为其免费测量一次血压。对发现的高危人群进行生活方式指导，建议其每半年测量一次血压。
2.对确诊的高血压患者及时纳入管理。对确诊的高血压患者进行规范管理，每季度进行至少1次面对面随访，全年进行1次健康检查。对血压控制不满意患者按照规范及时调整药物和增加随访次数。对急危患者和连续两次控制不满意患者及时转诊，并进行追踪管理。
3.对所有患者进行有针对性的健康教育，教授自测血压技能。
4.对签约的高血压患者按照服务协议完成基本医疗服务。</t>
  </si>
  <si>
    <t>1.对一级团队上转的患者及时进行治疗和参与健康管理。
2.开展“三高共管、六病同防”工作，落实“三级协同”工作职责，定期对家庭医生一级团队进行指导，开展下乡巡诊和入户巡防工作。
3.对一级团队开展业务指导和协同服务支持。</t>
  </si>
  <si>
    <t>1.对二级团队上转的患者及时进行治疗和参与健康管理。需要时预约床位和大型设备检查。
2.开展“三高共管、六病同防”工作，落实“三级协同”工作职责，定期对家庭医生一级团队进行指导，开展下乡巡诊和入户巡防工作。
2.对一二级团队开展业务指导和协同服务支持。</t>
  </si>
  <si>
    <r>
      <rPr>
        <b/>
        <sz val="6"/>
        <rFont val="仿宋_GB2312"/>
        <charset val="134"/>
      </rPr>
      <t>1.数量指标：</t>
    </r>
    <r>
      <rPr>
        <sz val="6"/>
        <rFont val="仿宋_GB2312"/>
        <charset val="134"/>
      </rPr>
      <t xml:space="preserve">
目标完成率=年内管理的高血压患者人数/年内应管理的高血压患者人数×100%。（100%）
</t>
    </r>
    <r>
      <rPr>
        <b/>
        <sz val="6"/>
        <rFont val="仿宋_GB2312"/>
        <charset val="134"/>
      </rPr>
      <t>2.质量指标：</t>
    </r>
    <r>
      <rPr>
        <sz val="6"/>
        <rFont val="仿宋_GB2312"/>
        <charset val="134"/>
      </rPr>
      <t xml:space="preserve">
高血压患者基层规范管理服务率=在基层医疗机构按照规范提供高血压患者健康管理服务的人数/年内辖区内已管理的高血压患者人数×100%。（62%）
</t>
    </r>
    <r>
      <rPr>
        <b/>
        <sz val="6"/>
        <rFont val="仿宋_GB2312"/>
        <charset val="134"/>
      </rPr>
      <t>3.效果指标：</t>
    </r>
    <r>
      <rPr>
        <sz val="6"/>
        <rFont val="仿宋_GB2312"/>
        <charset val="134"/>
      </rPr>
      <t xml:space="preserve">
血压控制率=年内最近一次随访血压达标人数/年内已管理的高血压患者人数×100%。（45%）
</t>
    </r>
    <r>
      <rPr>
        <b/>
        <sz val="6"/>
        <rFont val="仿宋_GB2312"/>
        <charset val="134"/>
      </rPr>
      <t>探索指标：</t>
    </r>
    <r>
      <rPr>
        <sz val="6"/>
        <rFont val="仿宋_GB2312"/>
        <charset val="134"/>
      </rPr>
      <t xml:space="preserve">
1.35岁及以上居民测血压信息推送率=居民健康档案中35岁以上人群测血压信息发送人数/居民健康档案中35岁及以上人群建档总人数。
2.已建档35岁及以上居民年内血压测量率=居民健康档案中35岁以上人群年内测血压人数/居民健康档案中35岁及以上人群建档总人数。</t>
    </r>
  </si>
  <si>
    <t>随访评估、分类干预</t>
  </si>
  <si>
    <t>结合患者慢病管理危险因素和电子病历情况，对患者实施分级管理。对血压控制满意（一般高血压患者血压降至140/90mmHg以下；≥65岁老年高血压患者的血压降至150/90mmHg以下，如果能耐受，可进一步降至140/90mmHg以下；一般糖尿病或慢性肾脏病患者的血压目标可以在140/90mmHg基础上再适当降低）、无药物不良反应、无新发并发症或原有并发症无加重的患者，预约下一次随访时间。</t>
  </si>
  <si>
    <t>按照标准化医防融合流程开展诊间随访，补充（更新）《慢性病医防融合信息补充表》，掌握患者医防融合信息</t>
  </si>
  <si>
    <t>1.摸清“两病”人员底数，落实两病门诊用药保障和健康管理专项行动方案，开展医防融合信息采集和医防融合随访，填写《慢性病医防融合信息补充表》，综合反馈健康管理和体检信息。
2.为参加居民医保、需服药治疗的“两病”患者，提供国家基本医保用药目录范围内的降血压和降血糖药品。落实基层医疗卫生机构和全科医师责任，加强健康教育和健康管理，将“两病”防治关口前移。
3.落实“两病”门诊用药长期处方制度。</t>
  </si>
  <si>
    <t>年度体检</t>
  </si>
  <si>
    <t>每年进行1次较全面的健康检查。内容包括体温、脉搏、呼吸、血压、身高、体重、腰围、皮肤、浅表淋巴结、心脏、肺部、腹部等常规体格检查，并对口腔、视力、听力和运动功能等进行判断。</t>
  </si>
  <si>
    <t>一对一现场指导掌握健康档案开放及健康积分查询方法和个性化健康教育、家庭医生签约服务</t>
  </si>
  <si>
    <t>1.对所有患者进行有针对性的健康教育，与患者一起制定生活方式改进目标并在下一次随访时评估进展；告诉患者出现哪些异常时应立即就诊；着重对高血压的危害和中等强度运动进行宣教。
2.教授患者自测血压技能和知识，包括：自测血压正确方法、频次及时间安排、降压治疗的血压目标。
3.通过公众号、APP、网站等对档案和体检结果、随访结果进行公开。
4.指导居民查询个人健康积分。       5.签约家庭医生，完成该重点人群履约服务。</t>
  </si>
  <si>
    <r>
      <rPr>
        <b/>
        <sz val="6"/>
        <rFont val="仿宋_GB2312"/>
        <charset val="134"/>
      </rPr>
      <t>一、签约指标：</t>
    </r>
    <r>
      <rPr>
        <sz val="6"/>
        <rFont val="仿宋_GB2312"/>
        <charset val="134"/>
      </rPr>
      <t xml:space="preserve">
高血压患者签约率=年度内签约家庭医生的高血压人数/年内辖区内在管的高血压患者数×100%。（70%或较往年提高5%）。
</t>
    </r>
    <r>
      <rPr>
        <b/>
        <sz val="6"/>
        <rFont val="仿宋_GB2312"/>
        <charset val="134"/>
      </rPr>
      <t>二、“三高共管、六病同防”一体化管理指标：</t>
    </r>
    <r>
      <rPr>
        <sz val="6"/>
        <rFont val="仿宋_GB2312"/>
        <charset val="134"/>
      </rPr>
      <t xml:space="preserve">
1.三高一体化管理率=实施一体化管理的三高人数/同时期或者年内辖区三高总人数×100%。。
2.三高一体化规范管理率=按规范管理的三高人数/同时期或者年内在管三高总人数×100%。
3.三高控制率=三高达标人数/同时期或者年内在管三高总人数×100%。（血压、血糖、血脂分别统计，同时一并做两高、三高共患综合统计）
4.三高知晓率=知道自己有三高的人数/同时期或者年内在管三高总人数×100%。
5.三高服药率=三高患者中近2周在服药的人数/同时期或者年内在管三高总人数×100%。
6.三大处方开具数量及占比。健康教育处方、运动治疗处方、营养治疗处方开具率=按规范给予个性化健康生活方式干预指导人数/年内管理的三高患者人数×100%。
</t>
    </r>
    <r>
      <rPr>
        <b/>
        <sz val="6"/>
        <rFont val="仿宋_GB2312"/>
        <charset val="134"/>
      </rPr>
      <t>三、“三高共管、六病同防”质量控制指标：</t>
    </r>
    <r>
      <rPr>
        <sz val="6"/>
        <rFont val="仿宋_GB2312"/>
        <charset val="134"/>
      </rPr>
      <t xml:space="preserve">
1.动态血压监测率=接受动态血压监测的高血压患者人数/同期或者年内辖区在管高血压患者总人数×100%。
2.心血管病总体风险评估率=完成心血管病总体风险评估的三高患者人数/同期或者年内辖区在管高血压患者总人数×100%。
3.高脂血症他汀类药物使用率=使用他汀类药物的患者人数/同时期或者年度内在管高脂血症患者总人数×100%。
4.六病检查率=并发症检查人数/同时期或者年度内辖区在管三高患者总人数×100%。</t>
    </r>
  </si>
  <si>
    <t>7.2糖尿病患者健康管理</t>
  </si>
  <si>
    <t>开展高危人群筛查</t>
  </si>
  <si>
    <t>对工作中发现的2型糖尿病高危人群进行有针对性的健康教育，建议其每年至少测量1次空腹血糖；开展运动、饮食等方面的健康指导。</t>
  </si>
  <si>
    <t>1.含人力、材料费、通讯费、交通费、实验室检查、数据采集和更新、督导、培训等成本。
2.年度任务目标测算数量按照当年中央区域绩效目标表和当年任务数，结合工作实际制定。
3.糖尿病应管理数按照41%测算，待任务数下达后按照任务数执行。
4.诊间随访目标任务数暂按照规范管理糖尿病患者的50%测算。
5.糖尿病签约数量指标按照应规范管理的糖尿病患者数测算。
6.糖尿病患者达标管理数量指标按照35%血糖控制率测算；糖尿病患者不达标管理按照65%测算。</t>
  </si>
  <si>
    <t>1.对确诊的糖尿病患者及时纳入管理。
2.对确诊的糖尿病患者进行规范管理，每季度进行至少1次面对面随访，全年进行1次健康检查。对血压血糖控制不满意患者按照规范及时调整药物和增加随访次数。对急危患者和连续两次控制不满意患者及时转诊，并进行追踪管理。
3.对所有患者进行有针对性的健康教育，教授自测血压血糖技能。
4.对签约的糖尿病患者按照服务协议完成基本医疗服务。</t>
  </si>
  <si>
    <r>
      <rPr>
        <b/>
        <sz val="6"/>
        <rFont val="仿宋_GB2312"/>
        <charset val="134"/>
      </rPr>
      <t xml:space="preserve">1.数量指标：
</t>
    </r>
    <r>
      <rPr>
        <sz val="6"/>
        <rFont val="仿宋_GB2312"/>
        <charset val="134"/>
      </rPr>
      <t>目标完成率=年内管理的糖尿病患者人数/年内应管理的糖尿病患者人数×100%。（100%）</t>
    </r>
    <r>
      <rPr>
        <b/>
        <sz val="6"/>
        <rFont val="仿宋_GB2312"/>
        <charset val="134"/>
      </rPr>
      <t xml:space="preserve">
2.质量指标：
</t>
    </r>
    <r>
      <rPr>
        <sz val="6"/>
        <rFont val="仿宋_GB2312"/>
        <charset val="134"/>
      </rPr>
      <t>糖尿病患者基层规范管理服务率=在基层医疗机构按照规范提供糖尿病患者健康管理服务的人数/年内辖区内已管理的糖尿病患者人数×100%。（62%）</t>
    </r>
    <r>
      <rPr>
        <b/>
        <sz val="6"/>
        <rFont val="仿宋_GB2312"/>
        <charset val="134"/>
      </rPr>
      <t xml:space="preserve">
3.效果指标：
</t>
    </r>
    <r>
      <rPr>
        <sz val="6"/>
        <rFont val="仿宋_GB2312"/>
        <charset val="134"/>
      </rPr>
      <t>血糖控制率=年内最近一次随访血糖达标人数/年内已管理的高血糖患者人数×100%。（35%）</t>
    </r>
    <r>
      <rPr>
        <b/>
        <sz val="6"/>
        <rFont val="仿宋_GB2312"/>
        <charset val="134"/>
      </rPr>
      <t xml:space="preserve">
高危人群管理指标：
</t>
    </r>
    <r>
      <rPr>
        <sz val="6"/>
        <rFont val="仿宋_GB2312"/>
        <charset val="134"/>
      </rPr>
      <t>1.糖尿病高危人群测血糖信息推送率=高危人群信息发送人数/居民健康档案糖尿病高危人群总人数。
2.高危人群年内血糖测量率=高危人群中年内测血糖人数/居民健康档案中糖尿病高危人群总人数。</t>
    </r>
  </si>
  <si>
    <t>对血糖控制满意（空腹血糖值&lt;7.0mmol/L），无药物不良反应、无新发并发症或原有并发症无加重的患者，预约进行下一次随访。对第一次出现空腹血糖控制不满意（空腹血糖值≥7.0mmol/L）或药物不良反应的患者，结合其服药依从情况进行指导，必要时增加现有药物剂量、更换或增加不同类的降糖药物，2周内随访。</t>
  </si>
  <si>
    <t>一对一现场指导掌握健康档案开放查询方法和个性化健康教育、家庭医生签约服务</t>
  </si>
  <si>
    <t>1.对所有患者进行有针对性的健康教育，与患者一起制定生活方式改进目标并在下一次随访时评估进展；告诉患者出现哪些异常时应立即就诊；着重对糖尿病的危害、综合治疗策略、抗阻运动、饮食管理、低血糖预防进行宣教。
2.教授患者自测血糖血压的技能和知识，包括：自测血糖血压的正确方法、频次及时间安排、降压治疗的血压目标。
3.加强宣传，告知服务内容，告知服务机构和服务路径，使更多的糖尿病患者主动接受服务。                    4.签约家庭医生，完成该重点人群履约服务。</t>
  </si>
  <si>
    <r>
      <rPr>
        <b/>
        <sz val="6"/>
        <rFont val="仿宋_GB2312"/>
        <charset val="134"/>
      </rPr>
      <t>一、签约指标：</t>
    </r>
    <r>
      <rPr>
        <sz val="6"/>
        <rFont val="仿宋_GB2312"/>
        <charset val="134"/>
      </rPr>
      <t xml:space="preserve">
糖尿病患者签约率=年度内签约家庭医生的糖尿病人数/年内辖区内在管的糖尿病患者数×100%。（70%或较往年提高5%）。
</t>
    </r>
    <r>
      <rPr>
        <b/>
        <sz val="6"/>
        <rFont val="仿宋_GB2312"/>
        <charset val="134"/>
      </rPr>
      <t>二、“三高共管、六病同防”一体化管理指标：</t>
    </r>
    <r>
      <rPr>
        <sz val="6"/>
        <rFont val="仿宋_GB2312"/>
        <charset val="134"/>
      </rPr>
      <t xml:space="preserve">
1.三高一体化管理率=实施一体化管理的三高人数/同时期或者年内辖区三高总人数×100%。。
2.三高一体化规范管理率=按规范管理的三高人数/同时期或者年内在管三高总人数×100%。
3.三高控制率=三高达标人数/同时期或者年内在管三高总人数×100%。（血压、血糖、血脂分别统计，同时一并做两高、三高共患综合统计）
4.三高知晓率=知道自己有三高的人数/同时期或者年内在管三高总人数×100%。
5.三高服药率=三高患者中近2周在服药的人数/同时期或者年内在管三高总人数×100%。
6.三大处方开具数量及占比。健康教育处方、运动治疗处方、营养治疗处方开具率=按规范给予个性化健康生活方式干预指导人数/年内管理的三高患者人数×100%。
</t>
    </r>
    <r>
      <rPr>
        <b/>
        <sz val="6"/>
        <rFont val="仿宋_GB2312"/>
        <charset val="134"/>
      </rPr>
      <t>三、“三高共管、六病同防”质量控制指标：</t>
    </r>
    <r>
      <rPr>
        <sz val="6"/>
        <rFont val="仿宋_GB2312"/>
        <charset val="134"/>
      </rPr>
      <t xml:space="preserve">
1.心血管病总体风险评估率=完成心血管病总体风险评估的三高患者人数/同期或者年内辖区在管高血压患者总人数×100%。
2.高脂血症他汀类药物使用率=使用他汀类药物的患者人数/同时期或者年度内在管高脂血症患者总人数×100%。
3.糖尿病患者HBa1c检测率=一年内至少检测过1次糖化血红蛋白的糖尿病患者人数/同时期或者年度内辖区在管糖尿病患者总人数×100%。
4.六病检查率=并发症检查人数/同时期或者年度内辖区在管三高患者总人数×100%。</t>
    </r>
  </si>
  <si>
    <t>8.严重精神障碍患者管理</t>
  </si>
  <si>
    <t>患者信息管理</t>
  </si>
  <si>
    <t>1.对新纳入管理患者进行疾病诊断、诊疗相关信息核实。
2.开展患者全面评估，建立居民健康档案，按照要求填写严重精神障碍患者个人信息补充表。</t>
  </si>
  <si>
    <t>1.含人力、材料费、通讯费、交通费、实验室检查、数据采集和更新、督导、培训等成本。
2.年度任务目标测算数量按照当年中央区域绩效目标表和发病率，结合工作实际制定。
3.心电图和实验室检查经费标准参照一级医院收费标准制定。
4.严重精神障碍发病率按照千分之四测算。</t>
  </si>
  <si>
    <t>分别承担。
按照规范开展患者体检工作，审核并出具体检报告，进行体检结果反馈。及时上传或录入至电子信息系统。</t>
  </si>
  <si>
    <t>分别承担。
建立辖区患者管理底册。开展体检组织、宣传、发动工作。开展健康教育和档案开放查询指导。。</t>
  </si>
  <si>
    <r>
      <rPr>
        <b/>
        <sz val="6"/>
        <rFont val="仿宋_GB2312"/>
        <charset val="134"/>
      </rPr>
      <t>1.数量指标：</t>
    </r>
    <r>
      <rPr>
        <sz val="6"/>
        <rFont val="仿宋_GB2312"/>
        <charset val="134"/>
      </rPr>
      <t xml:space="preserve">
社区在册居家严重精神障碍患者健康管理率=社区在册居家严重精神障碍患者健康管理人数/辖区内登记在册的确诊严重精神障碍患者人数×100%。（80%）
</t>
    </r>
    <r>
      <rPr>
        <b/>
        <sz val="6"/>
        <rFont val="仿宋_GB2312"/>
        <charset val="134"/>
      </rPr>
      <t>2.质量指标：</t>
    </r>
    <r>
      <rPr>
        <sz val="6"/>
        <rFont val="仿宋_GB2312"/>
        <charset val="134"/>
      </rPr>
      <t xml:space="preserve">
严重精神障碍患者规范管理率=年内辖区内按照规范要求进行管理的严重精神障碍患者人数/年内辖区内登记在册的确诊严重精神障碍患者人数×100%。（80%）
在册患者服药率70%， 规律服药率50%，精神分裂症患者服药率80% ，规律服药率60%。</t>
    </r>
  </si>
  <si>
    <t>对应管理的严重精神障碍患者每年至少随访4次，每次随访对患者进行危险性评估；检查患者的精神状况，包括感觉、知觉、思维、情感和意志行为、自知力等；询问和评估患者的躯体疾病、社会功能情况、服药情况及各项实验室检查结果等。根据患者的危险性评估分级、社会功能情况、精神症状评估、自知力判断，以及患者是否存在药物不良反应或躯体疾病情况对患者进行分类干预，按照服务规范要求进行相应频次随访。</t>
  </si>
  <si>
    <t>健康体检和组织发动、家庭医生签约</t>
  </si>
  <si>
    <t>每年进行1次健康检查，包括一般体格检查、血压、体重、血常规(含白细胞分类)、转氨酶、血糖、心电图。签约家庭医生，完成该重点人群履约服务。</t>
  </si>
  <si>
    <t>9.结核患者管理</t>
  </si>
  <si>
    <t>筛查及推介转诊</t>
  </si>
  <si>
    <t>对辖区内前来就诊的居民或患者，尤其是65岁以上老年人和糖尿病患者等结核病重点人群开展筛查，如发现有慢性咳嗽、咳痰≥2周，咯血、血痰，或发热、盗汗、胸痛或不明原因消瘦等肺结核可疑症状者，在鉴别诊断的基础上，填写“双向转诊单”，推荐其到结核病定点医疗机构进行结核病检查。1周内进行电话随访，了解是否前去就诊，督促其及时就医。</t>
  </si>
  <si>
    <t>1.含人力、材料费、通讯费、交通费、数据采集和更新、一次性物品消耗、与相关部门的协作、培训、指导费用等。
2.管理数量测算结合往年工作实际参考制定。
3.肺结核发病率按照千分之五测算。</t>
  </si>
  <si>
    <t>为主承担。
建立辖区结核患者管理台账，建立健康档案并督导服药，及时录入电子信息系统。开展患者及家属健康教育。</t>
  </si>
  <si>
    <t>为辅承担。
配合中心开展结核患者管理。</t>
  </si>
  <si>
    <r>
      <rPr>
        <b/>
        <sz val="6"/>
        <rFont val="仿宋_GB2312"/>
        <charset val="134"/>
      </rPr>
      <t>1.数量指标：</t>
    </r>
    <r>
      <rPr>
        <sz val="6"/>
        <rFont val="仿宋_GB2312"/>
        <charset val="134"/>
      </rPr>
      <t xml:space="preserve">
肺结核患者管理率=已管理的肺结核患者人数/辖区同期内静上级定点医疗机构确诊并通知基层医疗机构管理的肺结核患者人数×100%。（90%）
</t>
    </r>
    <r>
      <rPr>
        <b/>
        <sz val="6"/>
        <rFont val="仿宋_GB2312"/>
        <charset val="134"/>
      </rPr>
      <t>2.质量指标：</t>
    </r>
    <r>
      <rPr>
        <sz val="6"/>
        <rFont val="仿宋_GB2312"/>
        <charset val="134"/>
      </rPr>
      <t xml:space="preserve">
肺结核患者规则服药率=按照要求规则服药的肺结核患者人数/同期辖区内已完成治疗的肺结核患者人数×100%。（90%）</t>
    </r>
  </si>
  <si>
    <t>第一次入户随访</t>
  </si>
  <si>
    <t>1.接到上级专业机构管理肺结核患者的通知单后，在72小时内访视患者。确定督导人员，对患者的居住环境进行评估，患者出现病情加重、严重不良反应、并发症等异常情况时，及时就诊。
2.对患者及家属进行结核病防治知识宣传教育；告诉患者及家属做好防护工作，防止传染。</t>
  </si>
  <si>
    <t>督导服药、随访管理和分类干预</t>
  </si>
  <si>
    <t>1.每日督导服药。
2.对于由医务人员督导的患者，医务人员至少每月记录1次对患者的随访评估结果；对于由家庭成员督导的患者，基层医疗卫生机构要在患者的强化期或注射期内每10天随访1次，继续期或非注射期内每1个月随访1次。
3.对出现药物不良反应、并发症或合并症的患者，要立即转诊，2周内随访。</t>
  </si>
  <si>
    <t>结案评估、家庭医生签约服务</t>
  </si>
  <si>
    <t>1.患者停止抗结核治疗后，对其进行结案评估，包括：记录患者停止治疗的时间及原因；对其全程服药管理情况进行评估；收集和上报患者的“肺结核患者治疗记录卡”或“耐多药肺结核患者服药卡”。
2.将患者转诊至结核病定点医疗机构进行治疗转归评估，2周内进行电话随访，落实是否前去就诊及确诊结果。      3.签约家庭医生，完成该重点人群履约服务。</t>
  </si>
  <si>
    <t>10.中医药健康管理</t>
  </si>
  <si>
    <t>老年人中医药健康管理</t>
  </si>
  <si>
    <t>1.按照老年人中医药健康管理服务记录表前33项问题采集信息，根据体质判定标准进行体质辨识，并将辨识结果告知服务对象。
2.加强宣传，告知服务内容，对辨识结果和保健指导给予详细解释，使更多的老年人愿意接受服务。</t>
  </si>
  <si>
    <t>1.含人力、材料费、通讯费、交通费、数据采集和更新、督导、培训等成本。
2.老年人发生率按照15.13%测算。
3.0-36月龄儿童出生率按照百分之一测算。</t>
  </si>
  <si>
    <t>为辅承担。
印制有关纸质材料，指导卫生室开展中医辨识工作。</t>
  </si>
  <si>
    <t>为主承担。
开展中医辨识，进行中医保健指导，及时录入电子信息系统。</t>
  </si>
  <si>
    <r>
      <rPr>
        <b/>
        <sz val="6"/>
        <rFont val="仿宋_GB2312"/>
        <charset val="134"/>
      </rPr>
      <t>数量指标：</t>
    </r>
    <r>
      <rPr>
        <sz val="6"/>
        <rFont val="仿宋_GB2312"/>
        <charset val="134"/>
      </rPr>
      <t xml:space="preserve">
1.老年人中医药健康管理率=年内接收中医药健康管理服务的65岁及以上居民数/年内辖区内65岁及以上常住居民数×100%。（70%）
2.0-36个月儿童中医药健康管理服务率=年度辖区内按照月龄接受中医药健康管理服务的0-6岁儿童数/年内辖区内应管理的0-36个月儿童数×100%。（77%）</t>
    </r>
  </si>
  <si>
    <t>0-36个月儿童中医药健康管理</t>
  </si>
  <si>
    <t xml:space="preserve">1.向家长提供儿童中医饮食调养、起居活动指导。
2.在儿童6、12月龄给家长传授摩腹和捏脊方法；在18、24月龄传授按揉迎香穴、足三里穴的方法；在30、36月龄传授按揉四神聪穴的方法。
</t>
  </si>
  <si>
    <t>独立承担。
印制有关纸质材料，按照规范开展儿童中医药健康管理。</t>
  </si>
  <si>
    <t>11.传染病和突发公共卫生事件处置</t>
  </si>
  <si>
    <t>传染病疫情和突发公共卫生事件风险管理</t>
  </si>
  <si>
    <t>一、协助开展传染病疫情和突发公共卫生事件风险排查、收集和提供风险信息，参与风险评估和应急预案制（修）订。
二、1.规范填写分诊记录、门诊日志、入/出院登记本、X线检查和实验室检测结果登记本或由电子病历、电子健康档案自动生成规范的分诊记录、门诊日志、入/出院登记本、检测检验和放射登记。2.首诊医生在诊疗过程中发现传染病病人及疑似病人后，按要求填写《中华人民共和国传染病报告卡》或通过电子病历、电子健康档案自动抽取符合交换文档标准的电子传染病报告卡；如发现或怀疑为突发公共卫生事件时，按要求填写《突发公共卫生事件相关信息报告卡》。
三、1.在规定时间内进行传染病和/或突发公共卫生事件相关信息的网络直报。2.发现报告错误，或报告病例转归或诊断情况发生变化时，应及时对《传染病报告卡》和/或《突发公共卫生事件相关信息报告卡》等进行订正；对漏报的传染病病例和突发公共卫生事件，应及时进行补报。
四、对传染病病人、疑似病人采取隔离、医学观察等措施，对突发公共卫生事件伤者进行急救，及时转诊，书写医学记录及其他有关资料并妥善保管，按规定做好个人防护和感染控制，严防疫情传播。
五、协助开展传染病接触者或其他健康危害暴露人员的追踪、查找，对集中或居家医学观察者提供必要的基本医疗和预防服务。
六、协助对本辖区病人、疑似病人和突发公共卫生事件开展流行病学调查，收集和提供病人、密切接触者、其他健康危害暴露人员的相关信息。
七、1.做好医疗机构内现场控制、消毒隔离、个人防护、医疗垃圾和污水的处理工作。2.协助对被污染的场所进行卫生处理，开展杀虫、灭鼠等工作。
八、开展应急接种工作，并按照预防接种操作规范管理。
九、根据辖区传染病和突发公共卫生事件的性质和特点，开展相关知识技能和法律法规的宣传教育。</t>
  </si>
  <si>
    <t>1.含人力、材料费、通讯费、交通费、数据采集和更新、一次性物品消耗、防控物资消耗、与相关部门的协作、培训、指导费、巡查等费用等。
2.含开展疫情防控工作相关费用，包含监测、排查、健康教育、随访；相关人员经费、消毒和防护用品；开展卫生室疫情防控管理和指导等。</t>
  </si>
  <si>
    <t>分别承担。
印制有关纸质材料，开展业务培训，承担相关耗材等费用。开展应急接种和信息上报等工作。</t>
  </si>
  <si>
    <t>分别承担。
参与患者追踪管理、筛查等工作；开展健康教育；协助开展传染病和突发公共卫生事件处置工作。</t>
  </si>
  <si>
    <r>
      <rPr>
        <b/>
        <sz val="6"/>
        <rFont val="仿宋_GB2312"/>
        <charset val="134"/>
      </rPr>
      <t>数量指标：</t>
    </r>
    <r>
      <rPr>
        <sz val="6"/>
        <rFont val="仿宋_GB2312"/>
        <charset val="134"/>
      </rPr>
      <t xml:space="preserve">
1.传染病疫情报告率=网络报告的传染病病例数/登记传染病病例数×100%。（95%）
2.突发公共卫生事件相关信息报告率=及时报告的突发公共卫生事件相关信息数/报告突发公共卫生事件相关信息数×100%。（95%）
</t>
    </r>
    <r>
      <rPr>
        <b/>
        <sz val="6"/>
        <rFont val="仿宋_GB2312"/>
        <charset val="134"/>
      </rPr>
      <t>质量指标：</t>
    </r>
    <r>
      <rPr>
        <sz val="6"/>
        <rFont val="仿宋_GB2312"/>
        <charset val="134"/>
      </rPr>
      <t xml:space="preserve">
传染病疫情报告及时率=报告及时的病例数/报告传染病病例数×100%。（100%）</t>
    </r>
  </si>
  <si>
    <t>——</t>
  </si>
  <si>
    <t>12.卫生监督协管</t>
  </si>
  <si>
    <t>发现或怀疑有食源性疾病、食品污染等对人体健康造成危害或可能造成危害的线索和事件，及时报告。</t>
  </si>
  <si>
    <t>含人力、材料费、通讯费、交通费、数据采集和更新、一次性物品消耗、与相关部门的协作、培训、指导费、巡查等费用等。</t>
  </si>
  <si>
    <t>为辅承担。
印制有关纸质材料，开展业务培训指导等。</t>
  </si>
  <si>
    <t>为主承担。
每月开展辖区巡查上报工作。</t>
  </si>
  <si>
    <r>
      <rPr>
        <b/>
        <sz val="6"/>
        <rFont val="仿宋_GB2312"/>
        <charset val="134"/>
      </rPr>
      <t>数量指标：</t>
    </r>
    <r>
      <rPr>
        <sz val="6"/>
        <rFont val="仿宋_GB2312"/>
        <charset val="134"/>
      </rPr>
      <t xml:space="preserve">
卫生监督协管信息报告率=报告的事件或线索次数/发现的事件或线索次数。（90%）
</t>
    </r>
    <r>
      <rPr>
        <b/>
        <sz val="6"/>
        <rFont val="仿宋_GB2312"/>
        <charset val="134"/>
      </rPr>
      <t>参考指标：</t>
    </r>
    <r>
      <rPr>
        <sz val="6"/>
        <rFont val="仿宋_GB2312"/>
        <charset val="134"/>
      </rPr>
      <t xml:space="preserve">
卫生监督协管各专业每年巡查 （访）2次完成率。（90%）</t>
    </r>
  </si>
  <si>
    <t>协助卫生监督执法机构对农村集中式供水、城市二次供水和学校供水进行巡查，协助开展饮用水水质抽检服务，发现异常情况及时报告；协助有关专业机构对供水单位从业人员开展业务培训。</t>
  </si>
  <si>
    <t>协助卫生监督执法机构定期对学校传染病防控开展巡访，发现问题隐患及时报告；指导学校设立卫生宣传栏，协助开展学生健康教育。协助有关专业机构对校医（保健教师）开展业务培训。</t>
  </si>
  <si>
    <t>协助对辖区内非法行医和非法采供血开展巡访，发现相关信息及时向卫生计生监督执法机构报告。</t>
  </si>
  <si>
    <t>职业卫生监督协管信息报告</t>
  </si>
  <si>
    <t>协助开展职业卫生协管信息报告工作。</t>
  </si>
  <si>
    <t>合  计</t>
  </si>
  <si>
    <t>2025年新城中心基本医疗服务测算（25元）        单位：元</t>
  </si>
  <si>
    <t>备注：总人口17000</t>
  </si>
  <si>
    <t>2025年度临床收入预算</t>
  </si>
  <si>
    <t>工作量</t>
  </si>
  <si>
    <t>次均费用（单位：元）</t>
  </si>
  <si>
    <t>预算收入（单位：元）</t>
  </si>
  <si>
    <t>门诊人次</t>
  </si>
  <si>
    <t>住院人次</t>
  </si>
  <si>
    <t>门诊</t>
  </si>
  <si>
    <t>住院</t>
  </si>
  <si>
    <t>新邻里</t>
  </si>
  <si>
    <t>老年康复科（医养结合一科）</t>
  </si>
  <si>
    <t>手术麻醉科</t>
  </si>
  <si>
    <t>普外科</t>
  </si>
  <si>
    <t>临床研究中心</t>
  </si>
  <si>
    <t>中医针灸推拿科</t>
  </si>
  <si>
    <t>呼吸与危重症医学科</t>
  </si>
  <si>
    <t>感染性疾病科</t>
  </si>
  <si>
    <t>心血管内科</t>
  </si>
  <si>
    <t>中医科</t>
  </si>
  <si>
    <t>肿瘤内科</t>
  </si>
  <si>
    <t>介入科</t>
  </si>
  <si>
    <t>保税区</t>
  </si>
  <si>
    <t>坊子社会福利院</t>
  </si>
  <si>
    <t>儿童福利院</t>
  </si>
  <si>
    <t>收入</t>
  </si>
  <si>
    <t>财政核酸监测费用</t>
  </si>
  <si>
    <t>2025年度医技收入预算</t>
  </si>
  <si>
    <t>预算收入</t>
  </si>
  <si>
    <t>合计(元）</t>
  </si>
  <si>
    <t>心电图室</t>
  </si>
  <si>
    <t>2025年度防疫收入预算</t>
  </si>
  <si>
    <t>工作量（单位：剂次）</t>
  </si>
  <si>
    <t>预算总收入 （单位：元）</t>
  </si>
  <si>
    <t>一类疫苗</t>
  </si>
  <si>
    <t>二类疫苗</t>
  </si>
  <si>
    <t>清池接种门诊</t>
  </si>
  <si>
    <t>新城预防接种门诊</t>
  </si>
  <si>
    <t>新城第二接种门诊</t>
  </si>
  <si>
    <t>新城第三接种门诊</t>
  </si>
  <si>
    <t>新城第四接种门诊</t>
  </si>
  <si>
    <t>疫苗实验基地</t>
  </si>
  <si>
    <t>2025年度民生项目收入预算表</t>
  </si>
  <si>
    <t>预算完成人次数</t>
  </si>
  <si>
    <t>负责人</t>
  </si>
  <si>
    <t>2025年</t>
  </si>
  <si>
    <t>婚检项目（130元/对）</t>
  </si>
  <si>
    <t>刘明平</t>
  </si>
  <si>
    <t>孕检项目（240元/对)</t>
  </si>
  <si>
    <t>宫颈癌（49/人）农村/城镇</t>
  </si>
  <si>
    <t>乳腺癌（79/人）农村/城镇</t>
  </si>
  <si>
    <t>新筛补助（150/人）</t>
  </si>
  <si>
    <t>肾透析</t>
  </si>
  <si>
    <t>齐军</t>
  </si>
  <si>
    <t>从业人员体检费用</t>
  </si>
  <si>
    <t>牟宏</t>
  </si>
  <si>
    <t>残疾人评定（包含上门）</t>
  </si>
  <si>
    <t>686、精神类残疾人免费服药</t>
  </si>
  <si>
    <t>清池</t>
  </si>
  <si>
    <t>一种</t>
  </si>
  <si>
    <t>二种</t>
  </si>
  <si>
    <t>三种</t>
  </si>
  <si>
    <t>四种</t>
  </si>
  <si>
    <t>金额</t>
  </si>
  <si>
    <t>金额（万元）</t>
  </si>
  <si>
    <t>13价肺炎</t>
  </si>
  <si>
    <t>流感</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</si>
</sst>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 numFmtId="179" formatCode="0_);[Red]\(0\)"/>
    <numFmt numFmtId="180" formatCode="#,##0.00_ "/>
    <numFmt numFmtId="181" formatCode="#,##0_ "/>
    <numFmt numFmtId="182" formatCode="#,##0.0"/>
  </numFmts>
  <fonts count="129">
    <font>
      <sz val="11"/>
      <color theme="1"/>
      <name val="宋体"/>
      <charset val="134"/>
      <scheme val="minor"/>
    </font>
    <font>
      <sz val="11"/>
      <name val="宋体"/>
      <charset val="134"/>
      <scheme val="minor"/>
    </font>
    <font>
      <b/>
      <sz val="18"/>
      <name val="宋体"/>
      <charset val="134"/>
    </font>
    <font>
      <sz val="13"/>
      <name val="宋体"/>
      <charset val="134"/>
    </font>
    <font>
      <b/>
      <sz val="14"/>
      <name val="宋体"/>
      <charset val="134"/>
    </font>
    <font>
      <b/>
      <sz val="14"/>
      <color theme="1"/>
      <name val="宋体"/>
      <charset val="134"/>
      <scheme val="minor"/>
    </font>
    <font>
      <b/>
      <sz val="12"/>
      <name val="宋体"/>
      <charset val="134"/>
      <scheme val="minor"/>
    </font>
    <font>
      <sz val="12"/>
      <name val="宋体"/>
      <charset val="134"/>
    </font>
    <font>
      <sz val="12"/>
      <color theme="1"/>
      <name val="宋体"/>
      <charset val="134"/>
      <scheme val="minor"/>
    </font>
    <font>
      <b/>
      <sz val="12"/>
      <name val="宋体"/>
      <charset val="134"/>
    </font>
    <font>
      <sz val="12"/>
      <name val="宋体"/>
      <charset val="134"/>
      <scheme val="minor"/>
    </font>
    <font>
      <sz val="12"/>
      <color indexed="8"/>
      <name val="宋体"/>
      <charset val="134"/>
    </font>
    <font>
      <b/>
      <sz val="12"/>
      <color theme="1"/>
      <name val="宋体"/>
      <charset val="134"/>
      <scheme val="minor"/>
    </font>
    <font>
      <b/>
      <sz val="16"/>
      <name val="宋体"/>
      <charset val="134"/>
      <scheme val="minor"/>
    </font>
    <font>
      <b/>
      <sz val="16"/>
      <name val="宋体"/>
      <charset val="134"/>
    </font>
    <font>
      <b/>
      <sz val="16"/>
      <color theme="1"/>
      <name val="宋体"/>
      <charset val="134"/>
      <scheme val="minor"/>
    </font>
    <font>
      <b/>
      <sz val="25"/>
      <name val="宋体"/>
      <charset val="134"/>
    </font>
    <font>
      <b/>
      <sz val="12"/>
      <color theme="1"/>
      <name val="宋体"/>
      <charset val="134"/>
    </font>
    <font>
      <sz val="12"/>
      <color theme="1"/>
      <name val="宋体"/>
      <charset val="134"/>
    </font>
    <font>
      <b/>
      <sz val="11"/>
      <color theme="1"/>
      <name val="宋体"/>
      <charset val="134"/>
      <scheme val="minor"/>
    </font>
    <font>
      <sz val="11"/>
      <name val="宋体"/>
      <charset val="134"/>
    </font>
    <font>
      <sz val="18"/>
      <name val="方正小标宋简体"/>
      <charset val="134"/>
    </font>
    <font>
      <b/>
      <sz val="14"/>
      <name val="方正小标宋简体"/>
      <charset val="134"/>
    </font>
    <font>
      <sz val="12"/>
      <name val="方正小标宋简体"/>
      <charset val="134"/>
    </font>
    <font>
      <sz val="11"/>
      <name val="方正小标宋简体"/>
      <charset val="134"/>
    </font>
    <font>
      <sz val="8"/>
      <name val="宋体"/>
      <charset val="134"/>
    </font>
    <font>
      <sz val="6"/>
      <name val="宋体"/>
      <charset val="134"/>
    </font>
    <font>
      <sz val="16"/>
      <name val="方正小标宋_GBK"/>
      <charset val="134"/>
    </font>
    <font>
      <b/>
      <sz val="10"/>
      <name val="仿宋_GB2312"/>
      <charset val="134"/>
    </font>
    <font>
      <b/>
      <sz val="8"/>
      <name val="仿宋_GB2312"/>
      <charset val="134"/>
    </font>
    <font>
      <sz val="8"/>
      <name val="仿宋_GB2312"/>
      <charset val="134"/>
    </font>
    <font>
      <sz val="6"/>
      <name val="方正小标宋_GBK"/>
      <charset val="134"/>
    </font>
    <font>
      <sz val="6"/>
      <name val="仿宋_GB2312"/>
      <charset val="134"/>
    </font>
    <font>
      <b/>
      <sz val="6"/>
      <name val="仿宋_GB2312"/>
      <charset val="134"/>
    </font>
    <font>
      <sz val="10"/>
      <name val="仿宋_GB2312"/>
      <charset val="134"/>
    </font>
    <font>
      <b/>
      <sz val="6"/>
      <name val="SimSun"/>
      <charset val="134"/>
    </font>
    <font>
      <b/>
      <sz val="8"/>
      <name val="SimSun"/>
      <charset val="134"/>
    </font>
    <font>
      <sz val="20"/>
      <name val="方正小标宋简体"/>
      <charset val="134"/>
    </font>
    <font>
      <b/>
      <sz val="13"/>
      <name val="方正小标宋简体"/>
      <charset val="134"/>
    </font>
    <font>
      <b/>
      <sz val="13"/>
      <name val="宋体"/>
      <charset val="134"/>
    </font>
    <font>
      <b/>
      <sz val="11"/>
      <name val="方正小标宋简体"/>
      <charset val="134"/>
    </font>
    <font>
      <b/>
      <sz val="10.5"/>
      <name val="方正小标宋简体"/>
      <charset val="134"/>
    </font>
    <font>
      <b/>
      <sz val="10.5"/>
      <name val="宋体"/>
      <charset val="134"/>
    </font>
    <font>
      <b/>
      <sz val="10"/>
      <name val="宋体"/>
      <charset val="134"/>
    </font>
    <font>
      <b/>
      <sz val="10"/>
      <color indexed="10"/>
      <name val="宋体"/>
      <charset val="134"/>
    </font>
    <font>
      <b/>
      <sz val="10"/>
      <color rgb="FFFF0000"/>
      <name val="宋体"/>
      <charset val="134"/>
    </font>
    <font>
      <sz val="10"/>
      <color indexed="10"/>
      <name val="宋体"/>
      <charset val="134"/>
    </font>
    <font>
      <sz val="10"/>
      <color rgb="FFFF0000"/>
      <name val="宋体"/>
      <charset val="134"/>
    </font>
    <font>
      <sz val="10"/>
      <name val="宋体"/>
      <charset val="134"/>
    </font>
    <font>
      <sz val="9"/>
      <name val="方正姚体"/>
      <charset val="134"/>
    </font>
    <font>
      <sz val="10"/>
      <name val="黑体"/>
      <charset val="134"/>
    </font>
    <font>
      <b/>
      <sz val="9"/>
      <name val="宋体"/>
      <charset val="134"/>
    </font>
    <font>
      <sz val="9"/>
      <name val="宋体"/>
      <charset val="134"/>
    </font>
    <font>
      <sz val="10"/>
      <name val="方正小标宋简体"/>
      <charset val="134"/>
    </font>
    <font>
      <sz val="9"/>
      <name val="黑体"/>
      <charset val="134"/>
    </font>
    <font>
      <sz val="10"/>
      <color indexed="8"/>
      <name val="黑体"/>
      <charset val="134"/>
    </font>
    <font>
      <sz val="9"/>
      <color indexed="8"/>
      <name val="黑体"/>
      <charset val="134"/>
    </font>
    <font>
      <sz val="9"/>
      <color indexed="8"/>
      <name val="仿宋_GB2312"/>
      <charset val="134"/>
    </font>
    <font>
      <sz val="11"/>
      <color indexed="8"/>
      <name val="宋体"/>
      <charset val="134"/>
    </font>
    <font>
      <sz val="9"/>
      <name val="仿宋_GB2312"/>
      <charset val="134"/>
    </font>
    <font>
      <sz val="9"/>
      <color indexed="8"/>
      <name val="方正姚体"/>
      <charset val="134"/>
    </font>
    <font>
      <b/>
      <sz val="8"/>
      <name val="宋体"/>
      <charset val="134"/>
    </font>
    <font>
      <sz val="9"/>
      <color rgb="FF000000"/>
      <name val="仿宋_GB2312"/>
      <charset val="134"/>
    </font>
    <font>
      <sz val="9"/>
      <color theme="1"/>
      <name val="仿宋_GB2312"/>
      <charset val="134"/>
    </font>
    <font>
      <sz val="20"/>
      <name val="宋体"/>
      <charset val="134"/>
    </font>
    <font>
      <b/>
      <sz val="22"/>
      <name val="宋体"/>
      <charset val="134"/>
    </font>
    <font>
      <b/>
      <sz val="15"/>
      <name val="宋体"/>
      <charset val="134"/>
    </font>
    <font>
      <sz val="14"/>
      <name val="宋体"/>
      <charset val="134"/>
    </font>
    <font>
      <sz val="16"/>
      <name val="宋体"/>
      <charset val="134"/>
    </font>
    <font>
      <b/>
      <sz val="11"/>
      <name val="宋体"/>
      <charset val="134"/>
      <scheme val="minor"/>
    </font>
    <font>
      <b/>
      <sz val="18"/>
      <name val="宋体"/>
      <charset val="134"/>
      <scheme val="minor"/>
    </font>
    <font>
      <sz val="20"/>
      <color rgb="FFFF0000"/>
      <name val="宋体"/>
      <charset val="134"/>
      <scheme val="minor"/>
    </font>
    <font>
      <b/>
      <sz val="14"/>
      <name val="宋体"/>
      <charset val="134"/>
      <scheme val="minor"/>
    </font>
    <font>
      <sz val="14"/>
      <name val="宋体"/>
      <charset val="134"/>
      <scheme val="minor"/>
    </font>
    <font>
      <sz val="9"/>
      <name val="宋体"/>
      <charset val="134"/>
      <scheme val="minor"/>
    </font>
    <font>
      <sz val="10"/>
      <name val="宋体"/>
      <charset val="134"/>
      <scheme val="minor"/>
    </font>
    <font>
      <b/>
      <sz val="9"/>
      <name val="宋体"/>
      <charset val="134"/>
      <scheme val="minor"/>
    </font>
    <font>
      <b/>
      <sz val="10"/>
      <name val="宋体"/>
      <charset val="134"/>
      <scheme val="minor"/>
    </font>
    <font>
      <strike/>
      <sz val="11"/>
      <name val="宋体"/>
      <charset val="134"/>
      <scheme val="minor"/>
    </font>
    <font>
      <b/>
      <sz val="20"/>
      <color theme="1"/>
      <name val="宋体"/>
      <charset val="134"/>
      <scheme val="minor"/>
    </font>
    <font>
      <b/>
      <sz val="11"/>
      <name val="宋体"/>
      <charset val="134"/>
    </font>
    <font>
      <sz val="8"/>
      <name val="宋体"/>
      <charset val="134"/>
      <scheme val="minor"/>
    </font>
    <font>
      <sz val="11"/>
      <color theme="1"/>
      <name val="宋体"/>
      <charset val="134"/>
    </font>
    <font>
      <sz val="11"/>
      <color rgb="FFFF0000"/>
      <name val="宋体"/>
      <charset val="134"/>
      <scheme val="minor"/>
    </font>
    <font>
      <b/>
      <sz val="22"/>
      <name val="宋体"/>
      <charset val="134"/>
      <scheme val="minor"/>
    </font>
    <font>
      <b/>
      <sz val="16"/>
      <color rgb="FFFF0000"/>
      <name val="宋体"/>
      <charset val="134"/>
    </font>
    <font>
      <b/>
      <sz val="16"/>
      <color rgb="FFFF0000"/>
      <name val="宋体"/>
      <charset val="134"/>
      <scheme val="minor"/>
    </font>
    <font>
      <b/>
      <sz val="12"/>
      <color rgb="FFFF0000"/>
      <name val="宋体"/>
      <charset val="134"/>
      <scheme val="minor"/>
    </font>
    <font>
      <b/>
      <sz val="14"/>
      <color theme="1"/>
      <name val="宋体"/>
      <charset val="134"/>
    </font>
    <font>
      <b/>
      <sz val="14"/>
      <color rgb="FFFF0000"/>
      <name val="宋体"/>
      <charset val="134"/>
      <scheme val="minor"/>
    </font>
    <font>
      <sz val="14"/>
      <color theme="1"/>
      <name val="宋体"/>
      <charset val="134"/>
      <scheme val="minor"/>
    </font>
    <font>
      <sz val="20"/>
      <color theme="1"/>
      <name val="宋体"/>
      <charset val="134"/>
      <scheme val="minor"/>
    </font>
    <font>
      <b/>
      <sz val="11"/>
      <color theme="1"/>
      <name val="宋体"/>
      <charset val="134"/>
    </font>
    <font>
      <b/>
      <sz val="20"/>
      <name val="宋体"/>
      <charset val="134"/>
      <scheme val="minor"/>
    </font>
    <font>
      <sz val="9"/>
      <color theme="1"/>
      <name val="宋体"/>
      <charset val="134"/>
      <scheme val="minor"/>
    </font>
    <font>
      <sz val="8"/>
      <color theme="1"/>
      <name val="宋体"/>
      <charset val="134"/>
      <scheme val="minor"/>
    </font>
    <font>
      <sz val="13"/>
      <color theme="1"/>
      <name val="宋体"/>
      <charset val="134"/>
      <scheme val="minor"/>
    </font>
    <font>
      <b/>
      <sz val="18"/>
      <color theme="1"/>
      <name val="宋体"/>
      <charset val="134"/>
      <scheme val="minor"/>
    </font>
    <font>
      <b/>
      <sz val="13"/>
      <color theme="1"/>
      <name val="宋体"/>
      <charset val="134"/>
      <scheme val="minor"/>
    </font>
    <font>
      <b/>
      <sz val="13"/>
      <color theme="1"/>
      <name val="宋体"/>
      <charset val="134"/>
    </font>
    <font>
      <b/>
      <sz val="18"/>
      <color theme="1"/>
      <name val="宋体"/>
      <charset val="134"/>
    </font>
    <font>
      <b/>
      <sz val="15"/>
      <name val="宋体"/>
      <charset val="134"/>
      <scheme val="minor"/>
    </font>
    <font>
      <sz val="16"/>
      <color theme="1"/>
      <name val="宋体"/>
      <charset val="134"/>
      <scheme val="minor"/>
    </font>
    <font>
      <sz val="24"/>
      <color theme="1"/>
      <name val="宋体"/>
      <charset val="134"/>
      <scheme val="minor"/>
    </font>
    <font>
      <sz val="16"/>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10"/>
      <name val="仿宋_GB2312"/>
      <charset val="134"/>
    </font>
    <font>
      <b/>
      <sz val="10"/>
      <color theme="1"/>
      <name val="宋体"/>
      <charset val="134"/>
      <scheme val="minor"/>
    </font>
    <font>
      <b/>
      <sz val="20"/>
      <name val="宋体"/>
      <charset val="134"/>
    </font>
    <font>
      <sz val="9"/>
      <name val="宋体"/>
      <charset val="134"/>
    </font>
    <font>
      <b/>
      <sz val="9"/>
      <name val="宋体"/>
      <charset val="134"/>
    </font>
  </fonts>
  <fills count="38">
    <fill>
      <patternFill patternType="none"/>
    </fill>
    <fill>
      <patternFill patternType="gray125"/>
    </fill>
    <fill>
      <patternFill patternType="solid">
        <fgColor theme="3" tint="0.599993896298105"/>
        <bgColor indexed="64"/>
      </patternFill>
    </fill>
    <fill>
      <patternFill patternType="solid">
        <fgColor theme="3" tint="0.6"/>
        <bgColor indexed="64"/>
      </patternFill>
    </fill>
    <fill>
      <patternFill patternType="solid">
        <fgColor theme="3" tint="0.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dashed">
        <color rgb="FF49B6C3"/>
      </left>
      <right style="dashed">
        <color rgb="FF49B6C3"/>
      </right>
      <top style="dashed">
        <color rgb="FF49B6C3"/>
      </top>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5" fillId="0" borderId="0" applyNumberFormat="0" applyFill="0" applyBorder="0" applyAlignment="0" applyProtection="0">
      <alignment vertical="center"/>
    </xf>
    <xf numFmtId="0" fontId="106" fillId="0" borderId="0" applyNumberFormat="0" applyFill="0" applyBorder="0" applyAlignment="0" applyProtection="0">
      <alignment vertical="center"/>
    </xf>
    <xf numFmtId="0" fontId="0" fillId="9" borderId="21" applyNumberFormat="0" applyFont="0" applyAlignment="0" applyProtection="0">
      <alignment vertical="center"/>
    </xf>
    <xf numFmtId="0" fontId="107"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0" borderId="0" applyNumberFormat="0" applyFill="0" applyBorder="0" applyAlignment="0" applyProtection="0">
      <alignment vertical="center"/>
    </xf>
    <xf numFmtId="0" fontId="110" fillId="0" borderId="22" applyNumberFormat="0" applyFill="0" applyAlignment="0" applyProtection="0">
      <alignment vertical="center"/>
    </xf>
    <xf numFmtId="0" fontId="111" fillId="0" borderId="22" applyNumberFormat="0" applyFill="0" applyAlignment="0" applyProtection="0">
      <alignment vertical="center"/>
    </xf>
    <xf numFmtId="0" fontId="112" fillId="0" borderId="23" applyNumberFormat="0" applyFill="0" applyAlignment="0" applyProtection="0">
      <alignment vertical="center"/>
    </xf>
    <xf numFmtId="0" fontId="112" fillId="0" borderId="0" applyNumberFormat="0" applyFill="0" applyBorder="0" applyAlignment="0" applyProtection="0">
      <alignment vertical="center"/>
    </xf>
    <xf numFmtId="0" fontId="113" fillId="10" borderId="24" applyNumberFormat="0" applyAlignment="0" applyProtection="0">
      <alignment vertical="center"/>
    </xf>
    <xf numFmtId="0" fontId="114" fillId="11" borderId="25" applyNumberFormat="0" applyAlignment="0" applyProtection="0">
      <alignment vertical="center"/>
    </xf>
    <xf numFmtId="0" fontId="115" fillId="11" borderId="24" applyNumberFormat="0" applyAlignment="0" applyProtection="0">
      <alignment vertical="center"/>
    </xf>
    <xf numFmtId="0" fontId="116" fillId="12" borderId="26" applyNumberFormat="0" applyAlignment="0" applyProtection="0">
      <alignment vertical="center"/>
    </xf>
    <xf numFmtId="0" fontId="117" fillId="0" borderId="27" applyNumberFormat="0" applyFill="0" applyAlignment="0" applyProtection="0">
      <alignment vertical="center"/>
    </xf>
    <xf numFmtId="0" fontId="118" fillId="0" borderId="28" applyNumberFormat="0" applyFill="0" applyAlignment="0" applyProtection="0">
      <alignment vertical="center"/>
    </xf>
    <xf numFmtId="0" fontId="119" fillId="13" borderId="0" applyNumberFormat="0" applyBorder="0" applyAlignment="0" applyProtection="0">
      <alignment vertical="center"/>
    </xf>
    <xf numFmtId="0" fontId="120" fillId="14" borderId="0" applyNumberFormat="0" applyBorder="0" applyAlignment="0" applyProtection="0">
      <alignment vertical="center"/>
    </xf>
    <xf numFmtId="0" fontId="121" fillId="15" borderId="0" applyNumberFormat="0" applyBorder="0" applyAlignment="0" applyProtection="0">
      <alignment vertical="center"/>
    </xf>
    <xf numFmtId="0" fontId="122" fillId="16" borderId="0" applyNumberFormat="0" applyBorder="0" applyAlignment="0" applyProtection="0">
      <alignment vertical="center"/>
    </xf>
    <xf numFmtId="0" fontId="123" fillId="5" borderId="0" applyNumberFormat="0" applyBorder="0" applyAlignment="0" applyProtection="0">
      <alignment vertical="center"/>
    </xf>
    <xf numFmtId="0" fontId="123" fillId="17" borderId="0" applyNumberFormat="0" applyBorder="0" applyAlignment="0" applyProtection="0">
      <alignment vertical="center"/>
    </xf>
    <xf numFmtId="0" fontId="122" fillId="18" borderId="0" applyNumberFormat="0" applyBorder="0" applyAlignment="0" applyProtection="0">
      <alignment vertical="center"/>
    </xf>
    <xf numFmtId="0" fontId="122" fillId="19" borderId="0" applyNumberFormat="0" applyBorder="0" applyAlignment="0" applyProtection="0">
      <alignment vertical="center"/>
    </xf>
    <xf numFmtId="0" fontId="123" fillId="20" borderId="0" applyNumberFormat="0" applyBorder="0" applyAlignment="0" applyProtection="0">
      <alignment vertical="center"/>
    </xf>
    <xf numFmtId="0" fontId="123" fillId="21" borderId="0" applyNumberFormat="0" applyBorder="0" applyAlignment="0" applyProtection="0">
      <alignment vertical="center"/>
    </xf>
    <xf numFmtId="0" fontId="122" fillId="22" borderId="0" applyNumberFormat="0" applyBorder="0" applyAlignment="0" applyProtection="0">
      <alignment vertical="center"/>
    </xf>
    <xf numFmtId="0" fontId="122" fillId="23" borderId="0" applyNumberFormat="0" applyBorder="0" applyAlignment="0" applyProtection="0">
      <alignment vertical="center"/>
    </xf>
    <xf numFmtId="0" fontId="123" fillId="24" borderId="0" applyNumberFormat="0" applyBorder="0" applyAlignment="0" applyProtection="0">
      <alignment vertical="center"/>
    </xf>
    <xf numFmtId="0" fontId="123" fillId="25" borderId="0" applyNumberFormat="0" applyBorder="0" applyAlignment="0" applyProtection="0">
      <alignment vertical="center"/>
    </xf>
    <xf numFmtId="0" fontId="122" fillId="26" borderId="0" applyNumberFormat="0" applyBorder="0" applyAlignment="0" applyProtection="0">
      <alignment vertical="center"/>
    </xf>
    <xf numFmtId="0" fontId="122" fillId="27" borderId="0" applyNumberFormat="0" applyBorder="0" applyAlignment="0" applyProtection="0">
      <alignment vertical="center"/>
    </xf>
    <xf numFmtId="0" fontId="123" fillId="28" borderId="0" applyNumberFormat="0" applyBorder="0" applyAlignment="0" applyProtection="0">
      <alignment vertical="center"/>
    </xf>
    <xf numFmtId="0" fontId="123" fillId="29" borderId="0" applyNumberFormat="0" applyBorder="0" applyAlignment="0" applyProtection="0">
      <alignment vertical="center"/>
    </xf>
    <xf numFmtId="0" fontId="122" fillId="30" borderId="0" applyNumberFormat="0" applyBorder="0" applyAlignment="0" applyProtection="0">
      <alignment vertical="center"/>
    </xf>
    <xf numFmtId="0" fontId="122" fillId="31" borderId="0" applyNumberFormat="0" applyBorder="0" applyAlignment="0" applyProtection="0">
      <alignment vertical="center"/>
    </xf>
    <xf numFmtId="0" fontId="123" fillId="32" borderId="0" applyNumberFormat="0" applyBorder="0" applyAlignment="0" applyProtection="0">
      <alignment vertical="center"/>
    </xf>
    <xf numFmtId="0" fontId="123" fillId="33" borderId="0" applyNumberFormat="0" applyBorder="0" applyAlignment="0" applyProtection="0">
      <alignment vertical="center"/>
    </xf>
    <xf numFmtId="0" fontId="122" fillId="34" borderId="0" applyNumberFormat="0" applyBorder="0" applyAlignment="0" applyProtection="0">
      <alignment vertical="center"/>
    </xf>
    <xf numFmtId="0" fontId="122" fillId="35" borderId="0" applyNumberFormat="0" applyBorder="0" applyAlignment="0" applyProtection="0">
      <alignment vertical="center"/>
    </xf>
    <xf numFmtId="0" fontId="123" fillId="6" borderId="0" applyNumberFormat="0" applyBorder="0" applyAlignment="0" applyProtection="0">
      <alignment vertical="center"/>
    </xf>
    <xf numFmtId="0" fontId="123" fillId="36" borderId="0" applyNumberFormat="0" applyBorder="0" applyAlignment="0" applyProtection="0">
      <alignment vertical="center"/>
    </xf>
    <xf numFmtId="0" fontId="122" fillId="37" borderId="0" applyNumberFormat="0" applyBorder="0" applyAlignment="0" applyProtection="0">
      <alignment vertical="center"/>
    </xf>
    <xf numFmtId="0" fontId="48" fillId="0" borderId="0"/>
    <xf numFmtId="0" fontId="0" fillId="0" borderId="0"/>
    <xf numFmtId="0" fontId="7" fillId="0" borderId="0">
      <alignment vertical="center"/>
    </xf>
    <xf numFmtId="0" fontId="0" fillId="0" borderId="0">
      <alignment vertical="center"/>
    </xf>
    <xf numFmtId="0" fontId="7" fillId="0" borderId="0">
      <alignment vertical="center"/>
    </xf>
  </cellStyleXfs>
  <cellXfs count="801">
    <xf numFmtId="0" fontId="0" fillId="0" borderId="0" xfId="0">
      <alignment vertical="center"/>
    </xf>
    <xf numFmtId="0" fontId="0" fillId="0" borderId="0" xfId="0" applyFill="1" applyAlignment="1">
      <alignment horizontal="center"/>
    </xf>
    <xf numFmtId="0" fontId="0" fillId="0" borderId="0" xfId="0" applyFill="1">
      <alignment vertical="center"/>
    </xf>
    <xf numFmtId="0" fontId="0" fillId="0" borderId="0" xfId="0" applyFont="1" applyFill="1" applyAlignment="1">
      <alignment horizontal="center"/>
    </xf>
    <xf numFmtId="0" fontId="1" fillId="0" borderId="0" xfId="0" applyFont="1" applyFill="1" applyAlignment="1">
      <alignment horizontal="center"/>
    </xf>
    <xf numFmtId="176" fontId="0" fillId="0" borderId="0" xfId="0" applyNumberFormat="1" applyFill="1" applyAlignment="1">
      <alignment horizontal="center"/>
    </xf>
    <xf numFmtId="0" fontId="2" fillId="0" borderId="0" xfId="52" applyFont="1" applyFill="1" applyBorder="1" applyAlignment="1">
      <alignment horizontal="center" vertical="center"/>
    </xf>
    <xf numFmtId="176" fontId="2" fillId="0" borderId="0" xfId="52" applyNumberFormat="1" applyFont="1" applyFill="1" applyBorder="1" applyAlignment="1">
      <alignment horizontal="center" vertical="center"/>
    </xf>
    <xf numFmtId="0" fontId="3" fillId="0" borderId="0" xfId="52" applyFont="1" applyFill="1" applyAlignment="1">
      <alignment horizontal="center" vertical="center"/>
    </xf>
    <xf numFmtId="176" fontId="3" fillId="0" borderId="0" xfId="52" applyNumberFormat="1" applyFont="1" applyFill="1" applyAlignment="1">
      <alignment horizontal="center" vertical="center"/>
    </xf>
    <xf numFmtId="0" fontId="4" fillId="2" borderId="1" xfId="52" applyFont="1" applyFill="1" applyBorder="1" applyAlignment="1">
      <alignment horizontal="center" vertical="center" wrapText="1"/>
    </xf>
    <xf numFmtId="0" fontId="5" fillId="2" borderId="1" xfId="52" applyFont="1" applyFill="1" applyBorder="1" applyAlignment="1">
      <alignment horizontal="center" vertical="center" wrapText="1"/>
    </xf>
    <xf numFmtId="176" fontId="5" fillId="2" borderId="2" xfId="52" applyNumberFormat="1" applyFont="1" applyFill="1" applyBorder="1" applyAlignment="1">
      <alignment horizontal="center" vertical="center" wrapText="1"/>
    </xf>
    <xf numFmtId="0" fontId="5" fillId="2" borderId="2" xfId="52" applyFont="1" applyFill="1" applyBorder="1" applyAlignment="1">
      <alignment horizontal="center" vertical="center" wrapText="1"/>
    </xf>
    <xf numFmtId="0" fontId="5" fillId="2" borderId="2" xfId="52" applyFont="1" applyFill="1" applyBorder="1" applyAlignment="1">
      <alignment horizontal="center" vertical="center"/>
    </xf>
    <xf numFmtId="176" fontId="5" fillId="2" borderId="3" xfId="52" applyNumberFormat="1" applyFont="1" applyFill="1" applyBorder="1" applyAlignment="1">
      <alignment horizontal="center" vertical="center" wrapText="1"/>
    </xf>
    <xf numFmtId="0" fontId="5" fillId="2" borderId="3" xfId="52" applyFont="1" applyFill="1" applyBorder="1" applyAlignment="1">
      <alignment horizontal="center" vertical="center" wrapText="1"/>
    </xf>
    <xf numFmtId="0" fontId="5" fillId="2" borderId="3" xfId="52" applyFont="1" applyFill="1" applyBorder="1" applyAlignment="1">
      <alignment horizontal="center" vertical="center"/>
    </xf>
    <xf numFmtId="176" fontId="5" fillId="2" borderId="4" xfId="52" applyNumberFormat="1" applyFont="1" applyFill="1" applyBorder="1" applyAlignment="1">
      <alignment horizontal="center" vertical="center" wrapText="1"/>
    </xf>
    <xf numFmtId="0" fontId="5" fillId="2" borderId="4" xfId="52" applyFont="1" applyFill="1" applyBorder="1" applyAlignment="1">
      <alignment horizontal="center" vertical="center" wrapText="1"/>
    </xf>
    <xf numFmtId="0" fontId="5" fillId="2" borderId="4" xfId="52" applyFont="1" applyFill="1" applyBorder="1" applyAlignment="1">
      <alignment horizontal="center" vertical="center"/>
    </xf>
    <xf numFmtId="0" fontId="6" fillId="0" borderId="1" xfId="0" applyFont="1" applyFill="1" applyBorder="1" applyAlignment="1">
      <alignment horizontal="center"/>
    </xf>
    <xf numFmtId="0" fontId="7" fillId="0" borderId="1" xfId="52" applyFont="1" applyFill="1" applyBorder="1" applyAlignment="1">
      <alignment horizontal="center" wrapText="1"/>
    </xf>
    <xf numFmtId="176" fontId="6" fillId="0" borderId="1" xfId="52" applyNumberFormat="1" applyFont="1" applyFill="1" applyBorder="1" applyAlignment="1">
      <alignment horizontal="center" vertical="center"/>
    </xf>
    <xf numFmtId="0" fontId="8" fillId="0" borderId="1" xfId="52" applyFont="1" applyFill="1" applyBorder="1" applyAlignment="1">
      <alignment horizontal="center" vertical="center"/>
    </xf>
    <xf numFmtId="0" fontId="8" fillId="0" borderId="1" xfId="52" applyFont="1" applyFill="1" applyBorder="1" applyAlignment="1">
      <alignment horizontal="center" vertical="center"/>
    </xf>
    <xf numFmtId="176" fontId="6" fillId="0" borderId="2" xfId="52" applyNumberFormat="1" applyFont="1" applyFill="1" applyBorder="1" applyAlignment="1">
      <alignment horizontal="center" vertical="center"/>
    </xf>
    <xf numFmtId="0" fontId="8" fillId="0" borderId="2" xfId="52" applyFont="1" applyFill="1" applyBorder="1" applyAlignment="1">
      <alignment horizontal="center" vertical="center"/>
    </xf>
    <xf numFmtId="0" fontId="9" fillId="0" borderId="1" xfId="53" applyFont="1" applyFill="1" applyBorder="1" applyAlignment="1">
      <alignment horizontal="center" wrapText="1"/>
    </xf>
    <xf numFmtId="0" fontId="10" fillId="0" borderId="2" xfId="52" applyFont="1" applyFill="1" applyBorder="1" applyAlignment="1">
      <alignment horizontal="center" wrapText="1"/>
    </xf>
    <xf numFmtId="176" fontId="6" fillId="0" borderId="1" xfId="52" applyNumberFormat="1" applyFont="1" applyFill="1" applyBorder="1" applyAlignment="1">
      <alignment horizontal="center" wrapText="1"/>
    </xf>
    <xf numFmtId="0" fontId="8" fillId="0" borderId="4" xfId="52" applyFont="1" applyFill="1" applyBorder="1" applyAlignment="1">
      <alignment horizontal="center" vertical="center" wrapText="1"/>
    </xf>
    <xf numFmtId="0" fontId="11" fillId="0" borderId="1" xfId="53" applyFont="1" applyFill="1" applyBorder="1" applyAlignment="1">
      <alignment horizontal="center" wrapText="1"/>
    </xf>
    <xf numFmtId="0" fontId="10" fillId="0" borderId="1" xfId="52" applyFont="1" applyFill="1" applyBorder="1" applyAlignment="1">
      <alignment horizontal="center" vertical="center"/>
    </xf>
    <xf numFmtId="0" fontId="9" fillId="0" borderId="1" xfId="52" applyFont="1" applyFill="1" applyBorder="1" applyAlignment="1">
      <alignment horizontal="center" vertical="center" wrapText="1"/>
    </xf>
    <xf numFmtId="176" fontId="9" fillId="0" borderId="1" xfId="52" applyNumberFormat="1" applyFont="1" applyFill="1" applyBorder="1" applyAlignment="1">
      <alignment horizontal="center" wrapText="1"/>
    </xf>
    <xf numFmtId="176" fontId="12"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alignment horizontal="center"/>
    </xf>
    <xf numFmtId="176" fontId="8" fillId="0" borderId="1" xfId="0" applyNumberFormat="1" applyFont="1" applyFill="1" applyBorder="1" applyAlignment="1">
      <alignment horizontal="center"/>
    </xf>
    <xf numFmtId="0" fontId="13" fillId="2" borderId="1" xfId="52" applyFont="1" applyFill="1" applyBorder="1" applyAlignment="1">
      <alignment horizontal="center" vertical="center"/>
    </xf>
    <xf numFmtId="0" fontId="14" fillId="2" borderId="1" xfId="52" applyFont="1" applyFill="1" applyBorder="1" applyAlignment="1">
      <alignment horizontal="center" wrapText="1"/>
    </xf>
    <xf numFmtId="176" fontId="14" fillId="2" borderId="1" xfId="52" applyNumberFormat="1" applyFont="1" applyFill="1" applyBorder="1" applyAlignment="1">
      <alignment horizontal="center" wrapText="1"/>
    </xf>
    <xf numFmtId="0" fontId="15" fillId="2" borderId="1" xfId="52"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0" fillId="0" borderId="5" xfId="0" applyFill="1" applyBorder="1" applyAlignment="1">
      <alignment horizontal="center"/>
    </xf>
    <xf numFmtId="0" fontId="0" fillId="0" borderId="6" xfId="0" applyFill="1" applyBorder="1" applyAlignment="1">
      <alignment horizontal="center"/>
    </xf>
    <xf numFmtId="0" fontId="0" fillId="0" borderId="1" xfId="0" applyFill="1" applyBorder="1" applyAlignment="1">
      <alignment horizontal="center"/>
    </xf>
    <xf numFmtId="0" fontId="1" fillId="0" borderId="1" xfId="0" applyFont="1" applyFill="1" applyBorder="1" applyAlignment="1">
      <alignment horizontal="center"/>
    </xf>
    <xf numFmtId="176" fontId="0" fillId="0" borderId="1" xfId="0" applyNumberFormat="1" applyFill="1" applyBorder="1" applyAlignment="1">
      <alignment horizontal="center"/>
    </xf>
    <xf numFmtId="0" fontId="7" fillId="0" borderId="0" xfId="0" applyFont="1" applyFill="1" applyBorder="1" applyAlignment="1">
      <alignment horizontal="center" vertical="center"/>
    </xf>
    <xf numFmtId="0" fontId="16" fillId="0" borderId="0" xfId="0" applyFont="1" applyFill="1" applyAlignment="1">
      <alignment horizontal="center" vertical="center"/>
    </xf>
    <xf numFmtId="0" fontId="9" fillId="3" borderId="2"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6"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4" xfId="0" applyFont="1" applyFill="1" applyBorder="1" applyAlignment="1">
      <alignment horizontal="center" vertical="center" wrapText="1"/>
    </xf>
    <xf numFmtId="176" fontId="17" fillId="3" borderId="1"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3" borderId="1" xfId="0" applyFont="1" applyFill="1" applyBorder="1" applyAlignment="1">
      <alignment horizontal="center" vertical="center"/>
    </xf>
    <xf numFmtId="176" fontId="9" fillId="3" borderId="1" xfId="0" applyNumberFormat="1" applyFont="1" applyFill="1" applyBorder="1" applyAlignment="1">
      <alignment horizontal="center" vertical="center"/>
    </xf>
    <xf numFmtId="0" fontId="19" fillId="0" borderId="0" xfId="0" applyFont="1" applyFill="1">
      <alignment vertical="center"/>
    </xf>
    <xf numFmtId="0" fontId="0" fillId="0" borderId="0" xfId="0" applyFill="1" applyAlignment="1">
      <alignment horizontal="center" vertical="center"/>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6" xfId="0" applyFill="1" applyBorder="1" applyAlignment="1">
      <alignment horizontal="center" vertical="center"/>
    </xf>
    <xf numFmtId="0" fontId="19" fillId="3" borderId="1"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Border="1" applyAlignment="1">
      <alignment horizontal="right" vertical="center"/>
    </xf>
    <xf numFmtId="0" fontId="9" fillId="0" borderId="10" xfId="0" applyFont="1" applyFill="1" applyBorder="1" applyAlignment="1">
      <alignment horizontal="left" vertical="center"/>
    </xf>
    <xf numFmtId="0" fontId="20" fillId="0" borderId="0" xfId="0" applyFont="1" applyFill="1" applyBorder="1" applyAlignment="1">
      <alignment horizontal="left" vertical="center"/>
    </xf>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7" fillId="0" borderId="5" xfId="0" applyFont="1" applyFill="1" applyBorder="1" applyAlignment="1">
      <alignment vertical="center"/>
    </xf>
    <xf numFmtId="0" fontId="7" fillId="0" borderId="1" xfId="0" applyFont="1" applyFill="1" applyBorder="1" applyAlignment="1">
      <alignment vertical="center"/>
    </xf>
    <xf numFmtId="0" fontId="7" fillId="3" borderId="1" xfId="0" applyFont="1" applyFill="1" applyBorder="1" applyAlignment="1">
      <alignment vertical="center"/>
    </xf>
    <xf numFmtId="0" fontId="20" fillId="0" borderId="0" xfId="0" applyFont="1" applyFill="1" applyAlignment="1">
      <alignment vertical="center"/>
    </xf>
    <xf numFmtId="177" fontId="20" fillId="0" borderId="0" xfId="0" applyNumberFormat="1" applyFont="1" applyFill="1" applyAlignment="1"/>
    <xf numFmtId="176" fontId="20" fillId="0" borderId="0" xfId="0" applyNumberFormat="1" applyFont="1" applyFill="1" applyAlignment="1"/>
    <xf numFmtId="0" fontId="21" fillId="0" borderId="0" xfId="0" applyFont="1" applyFill="1" applyAlignment="1">
      <alignment horizontal="center" vertical="center"/>
    </xf>
    <xf numFmtId="0" fontId="22" fillId="4" borderId="1" xfId="0" applyFont="1" applyFill="1" applyBorder="1" applyAlignment="1">
      <alignment horizontal="center"/>
    </xf>
    <xf numFmtId="177" fontId="22" fillId="4" borderId="1" xfId="0" applyNumberFormat="1" applyFont="1" applyFill="1" applyBorder="1" applyAlignment="1">
      <alignment horizontal="center"/>
    </xf>
    <xf numFmtId="176" fontId="22" fillId="4" borderId="1" xfId="0" applyNumberFormat="1" applyFont="1" applyFill="1" applyBorder="1" applyAlignment="1">
      <alignment horizontal="center"/>
    </xf>
    <xf numFmtId="0" fontId="4" fillId="4" borderId="1" xfId="0" applyFont="1" applyFill="1" applyBorder="1" applyAlignment="1">
      <alignment horizontal="center"/>
    </xf>
    <xf numFmtId="0" fontId="23" fillId="0" borderId="1" xfId="0" applyFont="1" applyFill="1" applyBorder="1" applyAlignment="1">
      <alignment horizontal="center" vertical="center"/>
    </xf>
    <xf numFmtId="177" fontId="23" fillId="0" borderId="1" xfId="0" applyNumberFormat="1" applyFont="1" applyFill="1" applyBorder="1" applyAlignment="1">
      <alignment horizontal="center"/>
    </xf>
    <xf numFmtId="9" fontId="23" fillId="0" borderId="1" xfId="0" applyNumberFormat="1" applyFont="1" applyFill="1" applyBorder="1" applyAlignment="1">
      <alignment horizontal="center" wrapText="1"/>
    </xf>
    <xf numFmtId="0" fontId="23" fillId="0" borderId="1" xfId="0" applyFont="1" applyFill="1" applyBorder="1" applyAlignment="1">
      <alignment horizontal="center"/>
    </xf>
    <xf numFmtId="176" fontId="23" fillId="0" borderId="1" xfId="0" applyNumberFormat="1" applyFont="1" applyFill="1" applyBorder="1" applyAlignment="1">
      <alignment horizontal="center"/>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23" fillId="0" borderId="2" xfId="0" applyFont="1" applyFill="1" applyBorder="1" applyAlignment="1">
      <alignment horizontal="center" vertical="center"/>
    </xf>
    <xf numFmtId="0" fontId="7" fillId="0" borderId="1" xfId="0" applyFont="1" applyFill="1" applyBorder="1" applyAlignment="1">
      <alignment horizontal="center" wrapText="1"/>
    </xf>
    <xf numFmtId="0" fontId="23" fillId="0" borderId="4"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3" borderId="1" xfId="0" applyFont="1" applyFill="1" applyBorder="1" applyAlignment="1">
      <alignment horizontal="center"/>
    </xf>
    <xf numFmtId="177" fontId="24" fillId="3" borderId="1" xfId="0" applyNumberFormat="1" applyFont="1" applyFill="1" applyBorder="1" applyAlignment="1">
      <alignment horizontal="center"/>
    </xf>
    <xf numFmtId="0" fontId="20" fillId="3" borderId="1" xfId="0" applyFont="1" applyFill="1" applyBorder="1" applyAlignment="1">
      <alignment horizontal="center"/>
    </xf>
    <xf numFmtId="176" fontId="24" fillId="3" borderId="1" xfId="0" applyNumberFormat="1" applyFont="1" applyFill="1" applyBorder="1" applyAlignment="1">
      <alignment horizontal="center"/>
    </xf>
    <xf numFmtId="0" fontId="20" fillId="3" borderId="1" xfId="0" applyFont="1" applyFill="1" applyBorder="1" applyAlignment="1">
      <alignment horizontal="center" wrapText="1"/>
    </xf>
    <xf numFmtId="0" fontId="20" fillId="0" borderId="0" xfId="0" applyFont="1" applyFill="1" applyAlignment="1">
      <alignment horizontal="center"/>
    </xf>
    <xf numFmtId="0" fontId="25" fillId="0" borderId="0" xfId="0" applyFont="1" applyFill="1" applyBorder="1" applyAlignment="1">
      <alignment vertical="center"/>
    </xf>
    <xf numFmtId="0" fontId="26" fillId="0" borderId="0" xfId="0" applyFont="1" applyFill="1" applyBorder="1" applyAlignment="1">
      <alignment vertical="center"/>
    </xf>
    <xf numFmtId="0" fontId="27" fillId="3" borderId="0" xfId="0" applyFont="1" applyFill="1" applyBorder="1" applyAlignment="1">
      <alignment horizontal="center" vertical="center"/>
    </xf>
    <xf numFmtId="0" fontId="28" fillId="3" borderId="1" xfId="0" applyFont="1" applyFill="1" applyBorder="1" applyAlignment="1">
      <alignment horizontal="center" vertical="center" wrapText="1"/>
    </xf>
    <xf numFmtId="0" fontId="28" fillId="3" borderId="1" xfId="0" applyFont="1" applyFill="1" applyBorder="1" applyAlignment="1">
      <alignment horizontal="center" vertical="center"/>
    </xf>
    <xf numFmtId="177" fontId="28"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10" fontId="29" fillId="3" borderId="1" xfId="0" applyNumberFormat="1" applyFont="1" applyFill="1" applyBorder="1" applyAlignment="1">
      <alignment horizontal="center" vertical="center" wrapText="1"/>
    </xf>
    <xf numFmtId="0" fontId="29" fillId="3" borderId="1" xfId="0" applyNumberFormat="1" applyFont="1" applyFill="1" applyBorder="1" applyAlignment="1">
      <alignment horizontal="center" vertical="center" wrapText="1"/>
    </xf>
    <xf numFmtId="178" fontId="29" fillId="3" borderId="1" xfId="0" applyNumberFormat="1" applyFont="1" applyFill="1" applyBorder="1" applyAlignment="1">
      <alignment horizontal="center" vertical="center" wrapText="1"/>
    </xf>
    <xf numFmtId="176" fontId="29" fillId="3" borderId="1" xfId="0" applyNumberFormat="1" applyFont="1" applyFill="1" applyBorder="1" applyAlignment="1">
      <alignment horizontal="center" vertical="center" wrapText="1"/>
    </xf>
    <xf numFmtId="0" fontId="29" fillId="3" borderId="4"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1" xfId="0" applyFont="1" applyFill="1" applyBorder="1" applyAlignment="1">
      <alignment horizontal="justify" vertical="center" wrapText="1"/>
    </xf>
    <xf numFmtId="10" fontId="30" fillId="5" borderId="1" xfId="0" applyNumberFormat="1" applyFont="1" applyFill="1" applyBorder="1" applyAlignment="1">
      <alignment horizontal="center" vertical="center" wrapText="1"/>
    </xf>
    <xf numFmtId="177" fontId="30" fillId="5" borderId="1" xfId="0" applyNumberFormat="1" applyFont="1" applyFill="1" applyBorder="1" applyAlignment="1">
      <alignment horizontal="center" vertical="center" wrapText="1"/>
    </xf>
    <xf numFmtId="176" fontId="30" fillId="5" borderId="1" xfId="0" applyNumberFormat="1"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1" xfId="0" applyFont="1" applyFill="1" applyBorder="1" applyAlignment="1">
      <alignment horizontal="left" vertical="center" wrapText="1"/>
    </xf>
    <xf numFmtId="10" fontId="30" fillId="6" borderId="1" xfId="0" applyNumberFormat="1" applyFont="1" applyFill="1" applyBorder="1" applyAlignment="1">
      <alignment horizontal="center" vertical="center" wrapText="1"/>
    </xf>
    <xf numFmtId="177" fontId="30" fillId="6" borderId="1" xfId="0" applyNumberFormat="1" applyFont="1" applyFill="1" applyBorder="1" applyAlignment="1">
      <alignment horizontal="center" vertical="center" wrapText="1"/>
    </xf>
    <xf numFmtId="176" fontId="30" fillId="6" borderId="1" xfId="0" applyNumberFormat="1" applyFont="1" applyFill="1" applyBorder="1" applyAlignment="1">
      <alignment horizontal="center" vertical="center" wrapText="1"/>
    </xf>
    <xf numFmtId="0" fontId="30" fillId="6" borderId="1" xfId="0" applyNumberFormat="1" applyFont="1" applyFill="1" applyBorder="1" applyAlignment="1">
      <alignment horizontal="center" vertical="center" wrapText="1"/>
    </xf>
    <xf numFmtId="0" fontId="30" fillId="5" borderId="1" xfId="0" applyFont="1" applyFill="1" applyBorder="1" applyAlignment="1">
      <alignment horizontal="left" vertical="center" wrapText="1"/>
    </xf>
    <xf numFmtId="0" fontId="30" fillId="5" borderId="2" xfId="0" applyFont="1" applyFill="1" applyBorder="1" applyAlignment="1">
      <alignment horizontal="left" vertical="center" wrapText="1"/>
    </xf>
    <xf numFmtId="10" fontId="30" fillId="5" borderId="2" xfId="0" applyNumberFormat="1" applyFont="1" applyFill="1" applyBorder="1" applyAlignment="1">
      <alignment horizontal="center" vertical="center" wrapText="1"/>
    </xf>
    <xf numFmtId="177" fontId="30" fillId="5" borderId="2" xfId="0" applyNumberFormat="1" applyFont="1" applyFill="1" applyBorder="1" applyAlignment="1">
      <alignment horizontal="center" vertical="center" wrapText="1"/>
    </xf>
    <xf numFmtId="176" fontId="30" fillId="5" borderId="2" xfId="0" applyNumberFormat="1" applyFont="1" applyFill="1" applyBorder="1" applyAlignment="1">
      <alignment horizontal="center" vertical="center" wrapText="1"/>
    </xf>
    <xf numFmtId="0" fontId="30" fillId="5" borderId="4" xfId="0" applyFont="1" applyFill="1" applyBorder="1" applyAlignment="1">
      <alignment horizontal="left" vertical="center" wrapText="1"/>
    </xf>
    <xf numFmtId="10" fontId="30" fillId="5" borderId="4" xfId="0" applyNumberFormat="1" applyFont="1" applyFill="1" applyBorder="1" applyAlignment="1">
      <alignment horizontal="center" vertical="center" wrapText="1"/>
    </xf>
    <xf numFmtId="177" fontId="30" fillId="5" borderId="4" xfId="0" applyNumberFormat="1" applyFont="1" applyFill="1" applyBorder="1" applyAlignment="1">
      <alignment horizontal="center" vertical="center" wrapText="1"/>
    </xf>
    <xf numFmtId="176" fontId="30" fillId="5" borderId="4" xfId="0" applyNumberFormat="1" applyFont="1" applyFill="1" applyBorder="1" applyAlignment="1">
      <alignment horizontal="center" vertical="center" wrapText="1"/>
    </xf>
    <xf numFmtId="0" fontId="30" fillId="6" borderId="5"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30" fillId="5" borderId="9" xfId="0" applyFont="1" applyFill="1" applyBorder="1" applyAlignment="1">
      <alignment horizontal="center" vertical="center" wrapText="1"/>
    </xf>
    <xf numFmtId="10" fontId="30" fillId="6" borderId="2" xfId="0" applyNumberFormat="1" applyFont="1" applyFill="1" applyBorder="1" applyAlignment="1">
      <alignment horizontal="center" vertical="center" wrapText="1"/>
    </xf>
    <xf numFmtId="177" fontId="30" fillId="6" borderId="2" xfId="0" applyNumberFormat="1" applyFont="1" applyFill="1" applyBorder="1" applyAlignment="1">
      <alignment horizontal="center" vertical="center" wrapText="1"/>
    </xf>
    <xf numFmtId="176" fontId="30" fillId="6" borderId="2" xfId="0" applyNumberFormat="1" applyFont="1" applyFill="1" applyBorder="1" applyAlignment="1">
      <alignment horizontal="center" vertical="center" wrapText="1"/>
    </xf>
    <xf numFmtId="0" fontId="30" fillId="6" borderId="11" xfId="0" applyFont="1" applyFill="1" applyBorder="1" applyAlignment="1">
      <alignment horizontal="left" vertical="center" wrapText="1"/>
    </xf>
    <xf numFmtId="0" fontId="30" fillId="5" borderId="12" xfId="0" applyFont="1" applyFill="1" applyBorder="1" applyAlignment="1">
      <alignment horizontal="center" vertical="center" wrapText="1"/>
    </xf>
    <xf numFmtId="10" fontId="30" fillId="6" borderId="4" xfId="0" applyNumberFormat="1" applyFont="1" applyFill="1" applyBorder="1" applyAlignment="1">
      <alignment horizontal="center" vertical="center" wrapText="1"/>
    </xf>
    <xf numFmtId="177" fontId="30" fillId="6" borderId="4" xfId="0" applyNumberFormat="1" applyFont="1" applyFill="1" applyBorder="1" applyAlignment="1">
      <alignment horizontal="center" vertical="center" wrapText="1"/>
    </xf>
    <xf numFmtId="176" fontId="30" fillId="6" borderId="4" xfId="0" applyNumberFormat="1"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1" xfId="0" applyFont="1" applyFill="1" applyBorder="1" applyAlignment="1">
      <alignment horizontal="justify" vertical="center" wrapText="1"/>
    </xf>
    <xf numFmtId="0" fontId="30" fillId="6" borderId="3" xfId="0" applyFont="1" applyFill="1" applyBorder="1" applyAlignment="1">
      <alignment horizontal="center" vertical="center" wrapText="1"/>
    </xf>
    <xf numFmtId="0" fontId="30" fillId="6" borderId="2" xfId="0" applyFont="1" applyFill="1" applyBorder="1" applyAlignment="1">
      <alignment horizontal="justify" vertical="center" wrapText="1"/>
    </xf>
    <xf numFmtId="0" fontId="30" fillId="5" borderId="2" xfId="0" applyFont="1" applyFill="1" applyBorder="1" applyAlignment="1">
      <alignment horizontal="center" vertical="center" wrapText="1"/>
    </xf>
    <xf numFmtId="0" fontId="30" fillId="6" borderId="4" xfId="0" applyFont="1" applyFill="1" applyBorder="1" applyAlignment="1">
      <alignment horizontal="justify" vertical="center" wrapText="1"/>
    </xf>
    <xf numFmtId="0" fontId="30" fillId="5" borderId="4"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30" fillId="5" borderId="2" xfId="0" applyFont="1" applyFill="1" applyBorder="1" applyAlignment="1">
      <alignment horizontal="justify" vertical="center" wrapText="1"/>
    </xf>
    <xf numFmtId="0" fontId="30" fillId="5" borderId="4" xfId="0" applyFont="1" applyFill="1" applyBorder="1" applyAlignment="1">
      <alignment horizontal="justify" vertical="center" wrapText="1"/>
    </xf>
    <xf numFmtId="0" fontId="30" fillId="0" borderId="1" xfId="0" applyFont="1" applyFill="1" applyBorder="1" applyAlignment="1">
      <alignment horizontal="center" vertical="center" wrapText="1"/>
    </xf>
    <xf numFmtId="0" fontId="30" fillId="0" borderId="4" xfId="0" applyFont="1" applyFill="1" applyBorder="1" applyAlignment="1">
      <alignment horizontal="justify" vertical="center" wrapText="1"/>
    </xf>
    <xf numFmtId="0" fontId="30" fillId="0" borderId="4" xfId="0" applyFont="1" applyFill="1" applyBorder="1" applyAlignment="1">
      <alignment horizontal="center" vertical="center" wrapText="1"/>
    </xf>
    <xf numFmtId="10" fontId="30" fillId="0" borderId="4" xfId="0" applyNumberFormat="1" applyFont="1" applyFill="1" applyBorder="1" applyAlignment="1">
      <alignment horizontal="center" vertical="center" wrapText="1"/>
    </xf>
    <xf numFmtId="177" fontId="30" fillId="0" borderId="4" xfId="0" applyNumberFormat="1" applyFont="1" applyFill="1" applyBorder="1" applyAlignment="1">
      <alignment horizontal="center" vertical="center" wrapText="1"/>
    </xf>
    <xf numFmtId="176" fontId="30" fillId="0" borderId="4" xfId="0" applyNumberFormat="1" applyFont="1" applyFill="1" applyBorder="1" applyAlignment="1">
      <alignment horizontal="center" vertical="center" wrapText="1"/>
    </xf>
    <xf numFmtId="0" fontId="30" fillId="6" borderId="2" xfId="0" applyFont="1" applyFill="1" applyBorder="1" applyAlignment="1">
      <alignment horizontal="left" vertical="center" wrapText="1"/>
    </xf>
    <xf numFmtId="0" fontId="30" fillId="6" borderId="4" xfId="0" applyFont="1" applyFill="1" applyBorder="1" applyAlignment="1">
      <alignment horizontal="left" vertical="center" wrapText="1"/>
    </xf>
    <xf numFmtId="0" fontId="30" fillId="6" borderId="1" xfId="0" applyFont="1" applyFill="1" applyBorder="1" applyAlignment="1">
      <alignment horizontal="center" vertical="center"/>
    </xf>
    <xf numFmtId="9" fontId="30" fillId="6" borderId="1" xfId="0" applyNumberFormat="1" applyFont="1" applyFill="1" applyBorder="1" applyAlignment="1">
      <alignment horizontal="center" vertical="center"/>
    </xf>
    <xf numFmtId="177" fontId="29" fillId="3" borderId="1" xfId="0" applyNumberFormat="1" applyFont="1" applyFill="1" applyBorder="1" applyAlignment="1">
      <alignment horizontal="center" vertical="center" wrapText="1"/>
    </xf>
    <xf numFmtId="178" fontId="30" fillId="5" borderId="1" xfId="0" applyNumberFormat="1" applyFont="1" applyFill="1" applyBorder="1" applyAlignment="1">
      <alignment horizontal="center" vertical="center" wrapText="1"/>
    </xf>
    <xf numFmtId="178" fontId="30" fillId="6" borderId="1" xfId="0" applyNumberFormat="1" applyFont="1" applyFill="1" applyBorder="1" applyAlignment="1">
      <alignment horizontal="center" vertical="center" wrapText="1"/>
    </xf>
    <xf numFmtId="178" fontId="30" fillId="5" borderId="2" xfId="0" applyNumberFormat="1" applyFont="1" applyFill="1" applyBorder="1" applyAlignment="1">
      <alignment horizontal="center" vertical="center" wrapText="1"/>
    </xf>
    <xf numFmtId="178" fontId="30" fillId="5" borderId="4" xfId="0" applyNumberFormat="1" applyFont="1" applyFill="1" applyBorder="1" applyAlignment="1">
      <alignment horizontal="center" vertical="center" wrapText="1"/>
    </xf>
    <xf numFmtId="178" fontId="30" fillId="6" borderId="2" xfId="0" applyNumberFormat="1" applyFont="1" applyFill="1" applyBorder="1" applyAlignment="1">
      <alignment horizontal="center" vertical="center" wrapText="1"/>
    </xf>
    <xf numFmtId="178" fontId="30" fillId="6" borderId="4" xfId="0" applyNumberFormat="1" applyFont="1" applyFill="1" applyBorder="1" applyAlignment="1">
      <alignment horizontal="center" vertical="center" wrapText="1"/>
    </xf>
    <xf numFmtId="177" fontId="30" fillId="6" borderId="3" xfId="0" applyNumberFormat="1" applyFont="1" applyFill="1" applyBorder="1" applyAlignment="1">
      <alignment horizontal="center" vertical="center" wrapText="1"/>
    </xf>
    <xf numFmtId="176" fontId="30" fillId="6" borderId="3" xfId="0" applyNumberFormat="1" applyFont="1" applyFill="1" applyBorder="1" applyAlignment="1">
      <alignment horizontal="center" vertical="center" wrapText="1"/>
    </xf>
    <xf numFmtId="10" fontId="30" fillId="6" borderId="3" xfId="0" applyNumberFormat="1" applyFont="1" applyFill="1" applyBorder="1" applyAlignment="1">
      <alignment horizontal="center" vertical="center" wrapText="1"/>
    </xf>
    <xf numFmtId="177" fontId="30" fillId="0" borderId="1" xfId="0" applyNumberFormat="1" applyFont="1" applyFill="1" applyBorder="1" applyAlignment="1">
      <alignment horizontal="center" vertical="center" wrapText="1"/>
    </xf>
    <xf numFmtId="176" fontId="30" fillId="0" borderId="1" xfId="0" applyNumberFormat="1" applyFont="1" applyFill="1" applyBorder="1" applyAlignment="1">
      <alignment horizontal="center" vertical="center" wrapText="1"/>
    </xf>
    <xf numFmtId="10" fontId="30" fillId="0" borderId="1" xfId="0" applyNumberFormat="1" applyFont="1" applyFill="1" applyBorder="1" applyAlignment="1">
      <alignment horizontal="center" vertical="center" wrapText="1"/>
    </xf>
    <xf numFmtId="10" fontId="30" fillId="6" borderId="1" xfId="0" applyNumberFormat="1" applyFont="1" applyFill="1" applyBorder="1" applyAlignment="1">
      <alignment horizontal="center" vertical="center"/>
    </xf>
    <xf numFmtId="0" fontId="31" fillId="3" borderId="0" xfId="0" applyFont="1" applyFill="1" applyBorder="1" applyAlignment="1">
      <alignment horizontal="center" vertical="center"/>
    </xf>
    <xf numFmtId="10" fontId="28" fillId="3" borderId="1" xfId="0" applyNumberFormat="1" applyFont="1" applyFill="1" applyBorder="1" applyAlignment="1">
      <alignment horizontal="center" vertical="center" wrapText="1"/>
    </xf>
    <xf numFmtId="0" fontId="32" fillId="5" borderId="1" xfId="0" applyFont="1" applyFill="1" applyBorder="1" applyAlignment="1">
      <alignment vertical="center" wrapText="1"/>
    </xf>
    <xf numFmtId="0" fontId="32" fillId="6" borderId="1" xfId="0" applyFont="1" applyFill="1" applyBorder="1" applyAlignment="1">
      <alignment vertical="center" wrapText="1"/>
    </xf>
    <xf numFmtId="0" fontId="32" fillId="5" borderId="1" xfId="0" applyFont="1" applyFill="1" applyBorder="1" applyAlignment="1">
      <alignment horizontal="left" vertical="center" wrapText="1"/>
    </xf>
    <xf numFmtId="0" fontId="32" fillId="5" borderId="2" xfId="0" applyFont="1" applyFill="1" applyBorder="1" applyAlignment="1">
      <alignment vertical="center" wrapText="1"/>
    </xf>
    <xf numFmtId="0" fontId="32" fillId="5" borderId="4" xfId="0" applyFont="1" applyFill="1" applyBorder="1" applyAlignment="1">
      <alignment vertical="center" wrapText="1"/>
    </xf>
    <xf numFmtId="0" fontId="32" fillId="6" borderId="1" xfId="0" applyFont="1" applyFill="1" applyBorder="1" applyAlignment="1">
      <alignment horizontal="left" vertical="center" wrapText="1"/>
    </xf>
    <xf numFmtId="0" fontId="32" fillId="6" borderId="2" xfId="0" applyFont="1" applyFill="1" applyBorder="1" applyAlignment="1">
      <alignment vertical="center" wrapText="1"/>
    </xf>
    <xf numFmtId="0" fontId="32" fillId="6" borderId="4" xfId="0" applyFont="1" applyFill="1" applyBorder="1" applyAlignment="1">
      <alignment vertical="center" wrapText="1"/>
    </xf>
    <xf numFmtId="0" fontId="30" fillId="6" borderId="3" xfId="0" applyFont="1" applyFill="1" applyBorder="1" applyAlignment="1">
      <alignment horizontal="left" vertical="center" wrapText="1"/>
    </xf>
    <xf numFmtId="0" fontId="32" fillId="6" borderId="2"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5" borderId="2" xfId="0" applyFont="1" applyFill="1" applyBorder="1" applyAlignment="1">
      <alignment horizontal="left" vertical="center" wrapText="1"/>
    </xf>
    <xf numFmtId="0" fontId="32" fillId="5" borderId="4" xfId="0" applyFont="1" applyFill="1" applyBorder="1" applyAlignment="1">
      <alignment horizontal="left" vertical="center" wrapText="1"/>
    </xf>
    <xf numFmtId="0" fontId="32" fillId="0" borderId="4" xfId="0" applyFont="1" applyFill="1" applyBorder="1" applyAlignment="1">
      <alignment horizontal="left" vertical="center" wrapText="1"/>
    </xf>
    <xf numFmtId="0" fontId="30" fillId="0" borderId="1" xfId="0" applyFont="1" applyFill="1" applyBorder="1" applyAlignment="1">
      <alignment horizontal="left" vertical="center" wrapText="1"/>
    </xf>
    <xf numFmtId="10" fontId="33" fillId="3" borderId="1" xfId="0" applyNumberFormat="1" applyFont="1" applyFill="1" applyBorder="1" applyAlignment="1">
      <alignment horizontal="center" vertical="center" wrapText="1"/>
    </xf>
    <xf numFmtId="0" fontId="33" fillId="5" borderId="1" xfId="0" applyFont="1" applyFill="1" applyBorder="1" applyAlignment="1">
      <alignment horizontal="left" vertical="center" wrapText="1"/>
    </xf>
    <xf numFmtId="0" fontId="33" fillId="6" borderId="1" xfId="0" applyFont="1" applyFill="1" applyBorder="1" applyAlignment="1">
      <alignment horizontal="left" vertical="center" wrapText="1"/>
    </xf>
    <xf numFmtId="0" fontId="33" fillId="6" borderId="2" xfId="0" applyFont="1" applyFill="1" applyBorder="1" applyAlignment="1">
      <alignment horizontal="left" vertical="center" wrapText="1"/>
    </xf>
    <xf numFmtId="0" fontId="33" fillId="6" borderId="3" xfId="0" applyFont="1" applyFill="1" applyBorder="1" applyAlignment="1">
      <alignment horizontal="left" vertical="center" wrapText="1"/>
    </xf>
    <xf numFmtId="0" fontId="33" fillId="6" borderId="4" xfId="0" applyFont="1" applyFill="1" applyBorder="1" applyAlignment="1">
      <alignment horizontal="left" vertical="center" wrapText="1"/>
    </xf>
    <xf numFmtId="0" fontId="33" fillId="5" borderId="2" xfId="0" applyFont="1" applyFill="1" applyBorder="1" applyAlignment="1">
      <alignment horizontal="left" vertical="center" wrapText="1"/>
    </xf>
    <xf numFmtId="0" fontId="33" fillId="5" borderId="4"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0" fillId="5" borderId="1" xfId="0" applyFont="1" applyFill="1" applyBorder="1" applyAlignment="1">
      <alignment horizontal="center" vertical="center"/>
    </xf>
    <xf numFmtId="0" fontId="34" fillId="5" borderId="1" xfId="0" applyFont="1" applyFill="1" applyBorder="1" applyAlignment="1">
      <alignment horizontal="center" vertical="center"/>
    </xf>
    <xf numFmtId="0" fontId="29" fillId="7" borderId="1" xfId="0" applyFont="1" applyFill="1" applyBorder="1" applyAlignment="1">
      <alignment horizontal="center"/>
    </xf>
    <xf numFmtId="10" fontId="30" fillId="7" borderId="1" xfId="0" applyNumberFormat="1" applyFont="1" applyFill="1" applyBorder="1" applyAlignment="1">
      <alignment horizontal="center" vertical="center" wrapText="1"/>
    </xf>
    <xf numFmtId="177" fontId="29" fillId="7" borderId="1" xfId="0" applyNumberFormat="1" applyFont="1" applyFill="1" applyBorder="1" applyAlignment="1">
      <alignment horizontal="center" vertical="center" wrapText="1"/>
    </xf>
    <xf numFmtId="178" fontId="29" fillId="7" borderId="1" xfId="0" applyNumberFormat="1" applyFont="1" applyFill="1" applyBorder="1" applyAlignment="1">
      <alignment horizontal="center" vertical="center" wrapText="1"/>
    </xf>
    <xf numFmtId="10" fontId="29" fillId="7" borderId="1" xfId="0" applyNumberFormat="1" applyFont="1" applyFill="1" applyBorder="1" applyAlignment="1">
      <alignment horizontal="center" vertical="center" wrapText="1"/>
    </xf>
    <xf numFmtId="176" fontId="29" fillId="7" borderId="1" xfId="0" applyNumberFormat="1" applyFont="1" applyFill="1" applyBorder="1" applyAlignment="1">
      <alignment horizontal="center" vertical="center" wrapText="1"/>
    </xf>
    <xf numFmtId="0" fontId="35" fillId="7" borderId="1" xfId="0" applyFont="1" applyFill="1" applyBorder="1" applyAlignment="1">
      <alignment horizontal="center" vertical="center" wrapText="1"/>
    </xf>
    <xf numFmtId="0" fontId="36" fillId="7" borderId="1" xfId="0" applyFont="1" applyFill="1" applyBorder="1" applyAlignment="1">
      <alignment horizontal="center" vertical="center" wrapText="1"/>
    </xf>
    <xf numFmtId="0" fontId="20" fillId="0" borderId="0" xfId="0" applyFont="1" applyFill="1" applyBorder="1" applyAlignment="1">
      <alignment vertical="center"/>
    </xf>
    <xf numFmtId="177" fontId="20" fillId="0" borderId="0" xfId="0" applyNumberFormat="1" applyFont="1" applyFill="1" applyBorder="1" applyAlignment="1"/>
    <xf numFmtId="176" fontId="20" fillId="0" borderId="0" xfId="0" applyNumberFormat="1" applyFont="1" applyFill="1" applyBorder="1" applyAlignment="1"/>
    <xf numFmtId="0" fontId="37" fillId="0" borderId="0" xfId="0" applyFont="1" applyFill="1" applyBorder="1" applyAlignment="1">
      <alignment horizontal="center" vertical="center"/>
    </xf>
    <xf numFmtId="0" fontId="38" fillId="2" borderId="1" xfId="0" applyFont="1" applyFill="1" applyBorder="1" applyAlignment="1"/>
    <xf numFmtId="177" fontId="38" fillId="2" borderId="1" xfId="0" applyNumberFormat="1" applyFont="1" applyFill="1" applyBorder="1" applyAlignment="1"/>
    <xf numFmtId="176" fontId="38" fillId="2" borderId="1" xfId="0" applyNumberFormat="1" applyFont="1" applyFill="1" applyBorder="1" applyAlignment="1"/>
    <xf numFmtId="0" fontId="39" fillId="2" borderId="1" xfId="0" applyFont="1" applyFill="1" applyBorder="1" applyAlignment="1"/>
    <xf numFmtId="0" fontId="24" fillId="0" borderId="1" xfId="0" applyFont="1" applyFill="1" applyBorder="1" applyAlignment="1">
      <alignment horizontal="center" vertical="center"/>
    </xf>
    <xf numFmtId="177" fontId="24" fillId="0" borderId="1" xfId="0" applyNumberFormat="1" applyFont="1" applyFill="1" applyBorder="1" applyAlignment="1"/>
    <xf numFmtId="9" fontId="24" fillId="0" borderId="1" xfId="0" applyNumberFormat="1" applyFont="1" applyFill="1" applyBorder="1" applyAlignment="1">
      <alignment wrapText="1"/>
    </xf>
    <xf numFmtId="0" fontId="24" fillId="0" borderId="1" xfId="0" applyFont="1" applyFill="1" applyBorder="1" applyAlignment="1"/>
    <xf numFmtId="176" fontId="24" fillId="0" borderId="1" xfId="0" applyNumberFormat="1" applyFont="1" applyFill="1" applyBorder="1" applyAlignment="1"/>
    <xf numFmtId="0" fontId="20" fillId="0" borderId="2" xfId="0" applyFont="1" applyFill="1" applyBorder="1" applyAlignment="1">
      <alignment horizontal="left" vertical="center"/>
    </xf>
    <xf numFmtId="0" fontId="20" fillId="0" borderId="4" xfId="0" applyFont="1" applyFill="1" applyBorder="1" applyAlignment="1">
      <alignment horizontal="left" vertical="center"/>
    </xf>
    <xf numFmtId="0" fontId="24" fillId="0" borderId="2" xfId="0" applyFont="1" applyFill="1" applyBorder="1" applyAlignment="1">
      <alignment horizontal="center" vertical="center"/>
    </xf>
    <xf numFmtId="0" fontId="20" fillId="0" borderId="1" xfId="0" applyFont="1" applyFill="1" applyBorder="1" applyAlignment="1">
      <alignment horizontal="left"/>
    </xf>
    <xf numFmtId="0" fontId="24" fillId="0" borderId="4" xfId="0" applyFont="1" applyFill="1" applyBorder="1" applyAlignment="1">
      <alignment horizontal="center" vertical="center"/>
    </xf>
    <xf numFmtId="0" fontId="20" fillId="0" borderId="1" xfId="0" applyFont="1" applyFill="1" applyBorder="1" applyAlignment="1"/>
    <xf numFmtId="0" fontId="24" fillId="0" borderId="1" xfId="0" applyFont="1" applyFill="1" applyBorder="1" applyAlignment="1">
      <alignment horizontal="center" vertical="center" wrapText="1"/>
    </xf>
    <xf numFmtId="9" fontId="40" fillId="0" borderId="1" xfId="0" applyNumberFormat="1" applyFont="1" applyFill="1" applyBorder="1" applyAlignment="1">
      <alignment wrapText="1"/>
    </xf>
    <xf numFmtId="0" fontId="40" fillId="0" borderId="1" xfId="0" applyFont="1" applyFill="1" applyBorder="1" applyAlignment="1"/>
    <xf numFmtId="0" fontId="20" fillId="0" borderId="1" xfId="0" applyFont="1" applyFill="1" applyBorder="1" applyAlignment="1">
      <alignment wrapText="1"/>
    </xf>
    <xf numFmtId="10" fontId="24" fillId="0" borderId="1" xfId="0" applyNumberFormat="1" applyFont="1" applyFill="1" applyBorder="1" applyAlignment="1">
      <alignment wrapText="1"/>
    </xf>
    <xf numFmtId="0" fontId="24" fillId="2" borderId="1" xfId="0" applyFont="1" applyFill="1" applyBorder="1" applyAlignment="1"/>
    <xf numFmtId="177" fontId="24" fillId="2" borderId="1" xfId="0" applyNumberFormat="1" applyFont="1" applyFill="1" applyBorder="1" applyAlignment="1"/>
    <xf numFmtId="176" fontId="24" fillId="2" borderId="1" xfId="0" applyNumberFormat="1" applyFont="1" applyFill="1" applyBorder="1" applyAlignment="1"/>
    <xf numFmtId="0" fontId="20" fillId="2" borderId="1" xfId="0" applyFont="1" applyFill="1" applyBorder="1" applyAlignment="1"/>
    <xf numFmtId="0" fontId="9" fillId="0" borderId="0" xfId="0" applyFont="1" applyFill="1" applyBorder="1" applyAlignment="1">
      <alignment horizontal="center" vertical="center" wrapText="1"/>
    </xf>
    <xf numFmtId="178"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179" fontId="9" fillId="0" borderId="0" xfId="0" applyNumberFormat="1" applyFont="1" applyFill="1" applyAlignment="1">
      <alignment horizontal="center" vertical="center" wrapText="1"/>
    </xf>
    <xf numFmtId="9" fontId="9" fillId="0" borderId="0"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20" fillId="0" borderId="0" xfId="0" applyFont="1" applyFill="1" applyBorder="1" applyAlignment="1">
      <alignment horizontal="center"/>
    </xf>
    <xf numFmtId="176" fontId="9" fillId="0" borderId="0" xfId="0" applyNumberFormat="1" applyFont="1" applyFill="1" applyBorder="1" applyAlignment="1">
      <alignment horizontal="center" vertical="center" shrinkToFit="1"/>
    </xf>
    <xf numFmtId="0" fontId="41" fillId="0" borderId="0" xfId="0" applyFont="1" applyFill="1" applyBorder="1" applyAlignment="1">
      <alignment vertical="center" wrapText="1"/>
    </xf>
    <xf numFmtId="0" fontId="42" fillId="0" borderId="0" xfId="0" applyFont="1" applyFill="1" applyBorder="1" applyAlignment="1">
      <alignment vertical="center" wrapText="1"/>
    </xf>
    <xf numFmtId="0" fontId="43" fillId="0" borderId="0" xfId="0" applyFont="1" applyFill="1" applyBorder="1" applyAlignment="1">
      <alignment vertical="center" wrapText="1"/>
    </xf>
    <xf numFmtId="0" fontId="44" fillId="0" borderId="0" xfId="0" applyFont="1" applyFill="1" applyBorder="1" applyAlignment="1">
      <alignment vertical="center" wrapText="1"/>
    </xf>
    <xf numFmtId="0" fontId="45" fillId="0" borderId="0" xfId="0" applyFont="1" applyFill="1" applyBorder="1" applyAlignment="1">
      <alignment vertical="center" wrapText="1"/>
    </xf>
    <xf numFmtId="0" fontId="46" fillId="0" borderId="0" xfId="0" applyFont="1" applyFill="1" applyBorder="1" applyAlignment="1">
      <alignment vertical="center" wrapText="1"/>
    </xf>
    <xf numFmtId="0" fontId="47" fillId="0" borderId="0" xfId="0" applyFont="1" applyFill="1" applyBorder="1" applyAlignment="1">
      <alignment vertical="center" wrapText="1"/>
    </xf>
    <xf numFmtId="0" fontId="48" fillId="0" borderId="0" xfId="0" applyFont="1" applyFill="1" applyBorder="1" applyAlignment="1">
      <alignment vertical="center" wrapText="1"/>
    </xf>
    <xf numFmtId="0" fontId="49" fillId="0" borderId="0" xfId="0" applyFont="1" applyFill="1" applyBorder="1" applyAlignment="1">
      <alignment vertical="center" wrapText="1"/>
    </xf>
    <xf numFmtId="0" fontId="50"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10" fontId="42" fillId="0" borderId="0" xfId="0" applyNumberFormat="1" applyFont="1" applyFill="1" applyBorder="1" applyAlignment="1">
      <alignment horizontal="center" vertical="center" wrapText="1"/>
    </xf>
    <xf numFmtId="178" fontId="42" fillId="0" borderId="0" xfId="0" applyNumberFormat="1" applyFont="1" applyFill="1" applyBorder="1" applyAlignment="1">
      <alignment horizontal="center" vertical="center" wrapText="1"/>
    </xf>
    <xf numFmtId="0" fontId="42" fillId="0" borderId="0" xfId="0" applyNumberFormat="1" applyFont="1" applyFill="1" applyBorder="1" applyAlignment="1">
      <alignment horizontal="center" vertical="center" wrapText="1"/>
    </xf>
    <xf numFmtId="179" fontId="42" fillId="0" borderId="0" xfId="0" applyNumberFormat="1" applyFont="1" applyFill="1" applyBorder="1" applyAlignment="1">
      <alignment horizontal="center" vertical="center" wrapText="1"/>
    </xf>
    <xf numFmtId="9" fontId="42" fillId="0" borderId="0" xfId="0" applyNumberFormat="1" applyFont="1" applyFill="1" applyBorder="1" applyAlignment="1">
      <alignment horizontal="center" vertical="center" wrapText="1"/>
    </xf>
    <xf numFmtId="176" fontId="42" fillId="0" borderId="0" xfId="0" applyNumberFormat="1" applyFont="1" applyFill="1" applyBorder="1" applyAlignment="1">
      <alignment horizontal="center" vertical="center" wrapText="1"/>
    </xf>
    <xf numFmtId="179" fontId="51" fillId="0" borderId="0" xfId="0" applyNumberFormat="1" applyFont="1" applyFill="1" applyBorder="1" applyAlignment="1">
      <alignment horizontal="center" vertical="center" shrinkToFit="1"/>
    </xf>
    <xf numFmtId="176" fontId="42" fillId="0" borderId="0" xfId="0" applyNumberFormat="1" applyFont="1" applyFill="1" applyBorder="1" applyAlignment="1">
      <alignment horizontal="center" vertical="center" shrinkToFit="1"/>
    </xf>
    <xf numFmtId="0" fontId="52" fillId="0" borderId="0" xfId="0" applyFont="1" applyFill="1" applyBorder="1" applyAlignment="1">
      <alignment vertical="center" wrapText="1"/>
    </xf>
    <xf numFmtId="0" fontId="53" fillId="0" borderId="0" xfId="0" applyFont="1" applyFill="1" applyBorder="1" applyAlignment="1">
      <alignment horizontal="center" vertical="center" wrapText="1"/>
    </xf>
    <xf numFmtId="0" fontId="37" fillId="0" borderId="0" xfId="51" applyFont="1" applyFill="1" applyBorder="1" applyAlignment="1">
      <alignment horizontal="center" vertical="center" wrapText="1"/>
    </xf>
    <xf numFmtId="0" fontId="37" fillId="0" borderId="10" xfId="51" applyFont="1" applyFill="1" applyBorder="1" applyAlignment="1">
      <alignment horizontal="center" vertical="center" wrapText="1"/>
    </xf>
    <xf numFmtId="0" fontId="50" fillId="2" borderId="1" xfId="0" applyFont="1" applyFill="1" applyBorder="1" applyAlignment="1">
      <alignment horizontal="center" vertical="center" wrapText="1"/>
    </xf>
    <xf numFmtId="0" fontId="54" fillId="2" borderId="1" xfId="50" applyFont="1" applyFill="1" applyBorder="1" applyAlignment="1">
      <alignment horizontal="center" vertical="center" wrapText="1"/>
    </xf>
    <xf numFmtId="10" fontId="54" fillId="2" borderId="1" xfId="50" applyNumberFormat="1" applyFont="1" applyFill="1" applyBorder="1" applyAlignment="1">
      <alignment horizontal="center" vertical="center" wrapText="1"/>
    </xf>
    <xf numFmtId="0" fontId="54" fillId="2" borderId="1" xfId="50" applyNumberFormat="1" applyFont="1" applyFill="1" applyBorder="1" applyAlignment="1">
      <alignment horizontal="center" vertical="center" wrapText="1"/>
    </xf>
    <xf numFmtId="49" fontId="55" fillId="0" borderId="1" xfId="0" applyNumberFormat="1" applyFont="1" applyFill="1" applyBorder="1" applyAlignment="1">
      <alignment horizontal="center" vertical="center" wrapText="1"/>
    </xf>
    <xf numFmtId="0" fontId="56" fillId="0" borderId="1" xfId="51" applyFont="1" applyFill="1" applyBorder="1" applyAlignment="1">
      <alignment horizontal="center" vertical="center" wrapText="1"/>
    </xf>
    <xf numFmtId="10" fontId="57" fillId="0" borderId="1" xfId="0" applyNumberFormat="1" applyFont="1" applyFill="1" applyBorder="1" applyAlignment="1">
      <alignment horizontal="center" vertical="center" wrapText="1"/>
    </xf>
    <xf numFmtId="0" fontId="57" fillId="0" borderId="1" xfId="53" applyFont="1" applyFill="1" applyBorder="1" applyAlignment="1">
      <alignment horizontal="center" vertical="center" wrapText="1"/>
    </xf>
    <xf numFmtId="176" fontId="57" fillId="0" borderId="1" xfId="0" applyNumberFormat="1" applyFont="1" applyFill="1" applyBorder="1" applyAlignment="1">
      <alignment horizontal="center" vertical="center" shrinkToFit="1"/>
    </xf>
    <xf numFmtId="0" fontId="57" fillId="0" borderId="1" xfId="51" applyNumberFormat="1" applyFont="1" applyFill="1" applyBorder="1" applyAlignment="1">
      <alignment horizontal="center" vertical="center" wrapText="1"/>
    </xf>
    <xf numFmtId="179" fontId="57" fillId="0" borderId="1" xfId="51" applyNumberFormat="1" applyFont="1" applyFill="1" applyBorder="1" applyAlignment="1">
      <alignment horizontal="center" vertical="center" wrapText="1"/>
    </xf>
    <xf numFmtId="0" fontId="57" fillId="0" borderId="1" xfId="51" applyFont="1" applyFill="1" applyBorder="1" applyAlignment="1">
      <alignment horizontal="center" vertical="center" wrapText="1"/>
    </xf>
    <xf numFmtId="49" fontId="55" fillId="0" borderId="2" xfId="0" applyNumberFormat="1" applyFont="1" applyFill="1" applyBorder="1" applyAlignment="1">
      <alignment horizontal="center" vertical="center" wrapText="1"/>
    </xf>
    <xf numFmtId="0" fontId="56" fillId="0" borderId="2" xfId="51" applyFont="1" applyFill="1" applyBorder="1" applyAlignment="1">
      <alignment horizontal="center" vertical="center" wrapText="1"/>
    </xf>
    <xf numFmtId="0" fontId="58" fillId="0" borderId="3"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55" fillId="0" borderId="3" xfId="51" applyFont="1" applyFill="1" applyBorder="1" applyAlignment="1">
      <alignment horizontal="center" vertical="center" wrapText="1"/>
    </xf>
    <xf numFmtId="0" fontId="56" fillId="0" borderId="3" xfId="51" applyFont="1" applyFill="1" applyBorder="1" applyAlignment="1">
      <alignment horizontal="center" vertical="center" wrapText="1"/>
    </xf>
    <xf numFmtId="0" fontId="57" fillId="0" borderId="4" xfId="51" applyFont="1" applyFill="1" applyBorder="1" applyAlignment="1">
      <alignment horizontal="center" vertical="center" wrapText="1"/>
    </xf>
    <xf numFmtId="179" fontId="57" fillId="0" borderId="4" xfId="51" applyNumberFormat="1" applyFont="1" applyFill="1" applyBorder="1" applyAlignment="1">
      <alignment horizontal="center" vertical="center" wrapText="1"/>
    </xf>
    <xf numFmtId="0" fontId="57" fillId="0" borderId="4" xfId="51" applyNumberFormat="1" applyFont="1" applyFill="1" applyBorder="1" applyAlignment="1">
      <alignment horizontal="center" vertical="center" wrapText="1"/>
    </xf>
    <xf numFmtId="0" fontId="55" fillId="0" borderId="4" xfId="51" applyFont="1" applyFill="1" applyBorder="1" applyAlignment="1">
      <alignment horizontal="center" vertical="center" wrapText="1"/>
    </xf>
    <xf numFmtId="0" fontId="56" fillId="0" borderId="4" xfId="51" applyFont="1" applyFill="1" applyBorder="1" applyAlignment="1">
      <alignment horizontal="center" vertical="center" wrapText="1"/>
    </xf>
    <xf numFmtId="0" fontId="50" fillId="0" borderId="1" xfId="51" applyFont="1" applyFill="1" applyBorder="1" applyAlignment="1">
      <alignment horizontal="center" vertical="center" wrapText="1"/>
    </xf>
    <xf numFmtId="0" fontId="54" fillId="0" borderId="1" xfId="51" applyFont="1" applyFill="1" applyBorder="1" applyAlignment="1">
      <alignment horizontal="center" vertical="center" wrapText="1"/>
    </xf>
    <xf numFmtId="10" fontId="59" fillId="0" borderId="1" xfId="0" applyNumberFormat="1" applyFont="1" applyFill="1" applyBorder="1" applyAlignment="1">
      <alignment horizontal="center" vertical="center" wrapText="1"/>
    </xf>
    <xf numFmtId="0" fontId="59" fillId="0" borderId="1" xfId="51" applyFont="1" applyFill="1" applyBorder="1" applyAlignment="1">
      <alignment horizontal="center" vertical="center" wrapText="1"/>
    </xf>
    <xf numFmtId="179" fontId="59" fillId="0" borderId="1" xfId="51" applyNumberFormat="1" applyFont="1" applyFill="1" applyBorder="1" applyAlignment="1">
      <alignment horizontal="center" vertical="center" wrapText="1"/>
    </xf>
    <xf numFmtId="0" fontId="59" fillId="0" borderId="1" xfId="51" applyNumberFormat="1" applyFont="1" applyFill="1" applyBorder="1" applyAlignment="1">
      <alignment horizontal="center" vertical="center" wrapText="1"/>
    </xf>
    <xf numFmtId="179" fontId="59" fillId="0" borderId="4" xfId="51" applyNumberFormat="1" applyFont="1" applyFill="1" applyBorder="1" applyAlignment="1">
      <alignment horizontal="center" vertical="center" wrapText="1"/>
    </xf>
    <xf numFmtId="49" fontId="50" fillId="0" borderId="1" xfId="0" applyNumberFormat="1" applyFont="1" applyFill="1" applyBorder="1" applyAlignment="1">
      <alignment horizontal="center" vertical="center" wrapText="1"/>
    </xf>
    <xf numFmtId="0" fontId="50" fillId="0" borderId="2" xfId="51" applyFont="1" applyFill="1" applyBorder="1" applyAlignment="1">
      <alignment horizontal="center" vertical="center" wrapText="1"/>
    </xf>
    <xf numFmtId="0" fontId="54" fillId="0" borderId="2" xfId="51" applyFont="1" applyFill="1" applyBorder="1" applyAlignment="1">
      <alignment horizontal="center" vertical="center" wrapText="1"/>
    </xf>
    <xf numFmtId="0" fontId="50" fillId="0" borderId="3" xfId="51" applyFont="1" applyFill="1" applyBorder="1" applyAlignment="1">
      <alignment horizontal="center" vertical="center" wrapText="1"/>
    </xf>
    <xf numFmtId="0" fontId="54" fillId="0" borderId="3" xfId="51" applyFont="1" applyFill="1" applyBorder="1" applyAlignment="1">
      <alignment horizontal="center" vertical="center" wrapText="1"/>
    </xf>
    <xf numFmtId="0" fontId="50" fillId="0" borderId="4" xfId="51" applyFont="1" applyFill="1" applyBorder="1" applyAlignment="1">
      <alignment horizontal="center" vertical="center" wrapText="1"/>
    </xf>
    <xf numFmtId="0" fontId="54" fillId="0" borderId="4" xfId="51" applyFont="1" applyFill="1" applyBorder="1" applyAlignment="1">
      <alignment horizontal="center" vertical="center" wrapText="1"/>
    </xf>
    <xf numFmtId="49" fontId="50" fillId="0" borderId="1" xfId="0" applyNumberFormat="1" applyFont="1" applyFill="1" applyBorder="1" applyAlignment="1">
      <alignment horizontal="left" vertical="center" wrapText="1"/>
    </xf>
    <xf numFmtId="178" fontId="57" fillId="0" borderId="1" xfId="51" applyNumberFormat="1" applyFont="1" applyFill="1" applyBorder="1" applyAlignment="1">
      <alignment horizontal="center" vertical="center" wrapText="1"/>
    </xf>
    <xf numFmtId="49" fontId="55" fillId="0" borderId="3" xfId="0" applyNumberFormat="1" applyFont="1" applyFill="1" applyBorder="1" applyAlignment="1">
      <alignment horizontal="center" vertical="center" wrapText="1"/>
    </xf>
    <xf numFmtId="49" fontId="55" fillId="0" borderId="4" xfId="0" applyNumberFormat="1" applyFont="1" applyFill="1" applyBorder="1" applyAlignment="1">
      <alignment horizontal="center" vertical="center" wrapText="1"/>
    </xf>
    <xf numFmtId="0" fontId="60" fillId="2" borderId="5" xfId="0" applyFont="1" applyFill="1" applyBorder="1" applyAlignment="1">
      <alignment horizontal="center" vertical="center" wrapText="1"/>
    </xf>
    <xf numFmtId="0" fontId="60" fillId="2" borderId="7" xfId="0" applyFont="1" applyFill="1" applyBorder="1" applyAlignment="1">
      <alignment horizontal="center" vertical="center" wrapText="1"/>
    </xf>
    <xf numFmtId="10" fontId="61" fillId="0" borderId="0" xfId="0" applyNumberFormat="1" applyFont="1" applyFill="1" applyBorder="1" applyAlignment="1">
      <alignment horizontal="center" vertical="center" wrapText="1"/>
    </xf>
    <xf numFmtId="176" fontId="37" fillId="0" borderId="10" xfId="51" applyNumberFormat="1" applyFont="1" applyFill="1" applyBorder="1" applyAlignment="1">
      <alignment horizontal="center" vertical="center" wrapText="1"/>
    </xf>
    <xf numFmtId="0" fontId="37" fillId="0" borderId="10" xfId="51" applyFont="1" applyFill="1" applyBorder="1" applyAlignment="1">
      <alignment horizontal="center" vertical="center" shrinkToFit="1"/>
    </xf>
    <xf numFmtId="176" fontId="37" fillId="0" borderId="10" xfId="51" applyNumberFormat="1" applyFont="1" applyFill="1" applyBorder="1" applyAlignment="1">
      <alignment horizontal="center" vertical="center" shrinkToFit="1"/>
    </xf>
    <xf numFmtId="9" fontId="54" fillId="2" borderId="1" xfId="50" applyNumberFormat="1" applyFont="1" applyFill="1" applyBorder="1" applyAlignment="1">
      <alignment horizontal="center" vertical="center" wrapText="1"/>
    </xf>
    <xf numFmtId="176" fontId="54" fillId="2" borderId="1" xfId="50" applyNumberFormat="1" applyFont="1" applyFill="1" applyBorder="1" applyAlignment="1">
      <alignment horizontal="center" vertical="center" wrapText="1"/>
    </xf>
    <xf numFmtId="179" fontId="54" fillId="2" borderId="1" xfId="50" applyNumberFormat="1" applyFont="1" applyFill="1" applyBorder="1" applyAlignment="1">
      <alignment horizontal="center" vertical="center" wrapText="1" shrinkToFit="1"/>
    </xf>
    <xf numFmtId="0" fontId="54" fillId="2" borderId="1" xfId="0" applyFont="1" applyFill="1" applyBorder="1" applyAlignment="1">
      <alignment horizontal="center" vertical="center" wrapText="1"/>
    </xf>
    <xf numFmtId="9" fontId="57" fillId="0" borderId="1" xfId="51" applyNumberFormat="1" applyFont="1" applyFill="1" applyBorder="1" applyAlignment="1">
      <alignment horizontal="center" vertical="center" wrapText="1"/>
    </xf>
    <xf numFmtId="177" fontId="57" fillId="0" borderId="1" xfId="51" applyNumberFormat="1" applyFont="1" applyFill="1" applyBorder="1" applyAlignment="1">
      <alignment horizontal="center" vertical="center" wrapText="1"/>
    </xf>
    <xf numFmtId="179" fontId="57" fillId="0" borderId="1" xfId="0" applyNumberFormat="1" applyFont="1" applyFill="1" applyBorder="1" applyAlignment="1">
      <alignment horizontal="center" vertical="center" shrinkToFit="1"/>
    </xf>
    <xf numFmtId="0" fontId="57" fillId="0" borderId="1" xfId="51" applyFont="1" applyFill="1" applyBorder="1" applyAlignment="1">
      <alignment vertical="center" wrapText="1"/>
    </xf>
    <xf numFmtId="178" fontId="57" fillId="0" borderId="1" xfId="0" applyNumberFormat="1" applyFont="1" applyFill="1" applyBorder="1" applyAlignment="1">
      <alignment vertical="center" wrapText="1"/>
    </xf>
    <xf numFmtId="178" fontId="57" fillId="0" borderId="2" xfId="0" applyNumberFormat="1" applyFont="1" applyFill="1" applyBorder="1" applyAlignment="1">
      <alignment vertical="center" wrapText="1"/>
    </xf>
    <xf numFmtId="0" fontId="57" fillId="0" borderId="1" xfId="0" applyFont="1" applyFill="1" applyBorder="1" applyAlignment="1">
      <alignment vertical="center" wrapText="1"/>
    </xf>
    <xf numFmtId="9" fontId="57" fillId="0" borderId="4" xfId="51" applyNumberFormat="1" applyFont="1" applyFill="1" applyBorder="1" applyAlignment="1">
      <alignment horizontal="center" vertical="center" wrapText="1"/>
    </xf>
    <xf numFmtId="0" fontId="62" fillId="0" borderId="1" xfId="51" applyFont="1" applyFill="1" applyBorder="1" applyAlignment="1">
      <alignment vertical="center" wrapText="1"/>
    </xf>
    <xf numFmtId="0" fontId="63" fillId="0" borderId="1" xfId="0" applyFont="1" applyFill="1" applyBorder="1" applyAlignment="1">
      <alignment vertical="center" wrapText="1"/>
    </xf>
    <xf numFmtId="9" fontId="59" fillId="0" borderId="1" xfId="51" applyNumberFormat="1" applyFont="1" applyFill="1" applyBorder="1" applyAlignment="1">
      <alignment horizontal="center" vertical="center" wrapText="1"/>
    </xf>
    <xf numFmtId="177" fontId="59" fillId="0" borderId="1" xfId="51" applyNumberFormat="1" applyFont="1" applyFill="1" applyBorder="1" applyAlignment="1">
      <alignment horizontal="center" vertical="center" wrapText="1"/>
    </xf>
    <xf numFmtId="179" fontId="59" fillId="0" borderId="1" xfId="0" applyNumberFormat="1" applyFont="1" applyFill="1" applyBorder="1" applyAlignment="1">
      <alignment horizontal="center" vertical="center" shrinkToFit="1"/>
    </xf>
    <xf numFmtId="176" fontId="59" fillId="0" borderId="1" xfId="0" applyNumberFormat="1" applyFont="1" applyFill="1" applyBorder="1" applyAlignment="1">
      <alignment horizontal="center" vertical="center" shrinkToFit="1"/>
    </xf>
    <xf numFmtId="0" fontId="59" fillId="0" borderId="1" xfId="51" applyFont="1" applyFill="1" applyBorder="1" applyAlignment="1">
      <alignment vertical="center" wrapText="1"/>
    </xf>
    <xf numFmtId="0" fontId="59" fillId="0" borderId="1" xfId="0" applyFont="1" applyFill="1" applyBorder="1" applyAlignment="1">
      <alignment vertical="center" wrapText="1"/>
    </xf>
    <xf numFmtId="0" fontId="59" fillId="0" borderId="5" xfId="0" applyFont="1" applyFill="1" applyBorder="1" applyAlignment="1">
      <alignment horizontal="left" vertical="center" wrapText="1"/>
    </xf>
    <xf numFmtId="0" fontId="59" fillId="0" borderId="1" xfId="51" applyFont="1" applyFill="1" applyBorder="1" applyAlignment="1">
      <alignment horizontal="justify" vertical="center" wrapText="1"/>
    </xf>
    <xf numFmtId="178" fontId="59" fillId="0" borderId="1" xfId="0" applyNumberFormat="1" applyFont="1" applyFill="1" applyBorder="1" applyAlignment="1">
      <alignment horizontal="center" vertical="center" shrinkToFit="1"/>
    </xf>
    <xf numFmtId="0" fontId="63" fillId="0" borderId="1" xfId="51" applyFont="1" applyFill="1" applyBorder="1" applyAlignment="1">
      <alignment vertical="center" wrapText="1"/>
    </xf>
    <xf numFmtId="178" fontId="57" fillId="0" borderId="1" xfId="0" applyNumberFormat="1" applyFont="1" applyFill="1" applyBorder="1" applyAlignment="1">
      <alignment horizontal="center" vertical="center" shrinkToFit="1"/>
    </xf>
    <xf numFmtId="0" fontId="60" fillId="2" borderId="6" xfId="0" applyFont="1" applyFill="1" applyBorder="1" applyAlignment="1">
      <alignment horizontal="center" vertical="center" wrapText="1"/>
    </xf>
    <xf numFmtId="178" fontId="60" fillId="2" borderId="1" xfId="0" applyNumberFormat="1" applyFont="1" applyFill="1" applyBorder="1" applyAlignment="1">
      <alignment horizontal="center" vertical="center" shrinkToFit="1"/>
    </xf>
    <xf numFmtId="176" fontId="49" fillId="2" borderId="1" xfId="0" applyNumberFormat="1" applyFont="1" applyFill="1" applyBorder="1" applyAlignment="1">
      <alignment horizontal="center" vertical="center" shrinkToFit="1"/>
    </xf>
    <xf numFmtId="0" fontId="49" fillId="2" borderId="1" xfId="0" applyFont="1" applyFill="1" applyBorder="1" applyAlignment="1">
      <alignment vertical="center" wrapText="1"/>
    </xf>
    <xf numFmtId="0" fontId="59" fillId="2" borderId="1" xfId="0" applyFont="1" applyFill="1" applyBorder="1" applyAlignment="1">
      <alignment vertical="center" wrapText="1"/>
    </xf>
    <xf numFmtId="0" fontId="39" fillId="0" borderId="0" xfId="0" applyFont="1" applyFill="1" applyBorder="1" applyAlignment="1">
      <alignment vertical="center"/>
    </xf>
    <xf numFmtId="0" fontId="3" fillId="0" borderId="0" xfId="0" applyFont="1" applyFill="1" applyBorder="1" applyAlignment="1">
      <alignment vertical="center"/>
    </xf>
    <xf numFmtId="0" fontId="64" fillId="0" borderId="0"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3" xfId="0" applyFont="1" applyFill="1" applyBorder="1" applyAlignment="1">
      <alignment horizontal="left" vertical="center"/>
    </xf>
    <xf numFmtId="0" fontId="39" fillId="3" borderId="1" xfId="0" applyFont="1" applyFill="1" applyBorder="1" applyAlignment="1">
      <alignment horizontal="center" vertical="center"/>
    </xf>
    <xf numFmtId="0" fontId="39" fillId="3" borderId="1" xfId="0" applyFont="1" applyFill="1" applyBorder="1" applyAlignment="1">
      <alignment vertical="center"/>
    </xf>
    <xf numFmtId="0" fontId="7" fillId="0" borderId="0" xfId="0" applyFont="1" applyFill="1" applyBorder="1" applyAlignment="1">
      <alignment horizontal="left" vertical="center"/>
    </xf>
    <xf numFmtId="0" fontId="4" fillId="0" borderId="0" xfId="0" applyFont="1" applyFill="1" applyBorder="1" applyAlignment="1">
      <alignment vertical="center"/>
    </xf>
    <xf numFmtId="0" fontId="65" fillId="0" borderId="0" xfId="0" applyFont="1" applyFill="1" applyBorder="1" applyAlignment="1">
      <alignment vertical="center"/>
    </xf>
    <xf numFmtId="0" fontId="66" fillId="0" borderId="0" xfId="0" applyFont="1" applyFill="1" applyBorder="1" applyAlignment="1">
      <alignment vertical="center"/>
    </xf>
    <xf numFmtId="0" fontId="65"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7" fillId="0" borderId="14" xfId="0" applyFont="1" applyFill="1" applyBorder="1" applyAlignment="1">
      <alignment vertical="center"/>
    </xf>
    <xf numFmtId="9" fontId="7" fillId="0" borderId="1" xfId="0" applyNumberFormat="1" applyFont="1" applyFill="1" applyBorder="1" applyAlignment="1">
      <alignment horizontal="center" vertical="center"/>
    </xf>
    <xf numFmtId="0" fontId="67" fillId="3" borderId="1" xfId="0" applyFont="1" applyFill="1" applyBorder="1" applyAlignment="1">
      <alignment horizontal="center" vertical="center"/>
    </xf>
    <xf numFmtId="176" fontId="68" fillId="3" borderId="1" xfId="0" applyNumberFormat="1" applyFont="1" applyFill="1" applyBorder="1" applyAlignment="1">
      <alignment horizontal="center" vertical="center"/>
    </xf>
    <xf numFmtId="0" fontId="7" fillId="3" borderId="15" xfId="0" applyFont="1" applyFill="1" applyBorder="1" applyAlignment="1">
      <alignment vertical="center"/>
    </xf>
    <xf numFmtId="0" fontId="1" fillId="0" borderId="0" xfId="0" applyFont="1" applyFill="1">
      <alignment vertical="center"/>
    </xf>
    <xf numFmtId="0" fontId="10" fillId="0" borderId="0" xfId="0" applyFont="1" applyFill="1">
      <alignment vertical="center"/>
    </xf>
    <xf numFmtId="176" fontId="1" fillId="0" borderId="0" xfId="0" applyNumberFormat="1" applyFont="1" applyFill="1">
      <alignment vertical="center"/>
    </xf>
    <xf numFmtId="0" fontId="69"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xf>
    <xf numFmtId="0" fontId="70" fillId="0" borderId="0" xfId="0" applyFont="1" applyFill="1" applyAlignment="1">
      <alignment horizontal="center" vertical="center"/>
    </xf>
    <xf numFmtId="0" fontId="70" fillId="0" borderId="0" xfId="0" applyFont="1" applyFill="1" applyAlignment="1">
      <alignment horizontal="left" vertical="center"/>
    </xf>
    <xf numFmtId="0" fontId="70" fillId="0" borderId="0" xfId="0" applyFont="1" applyFill="1" applyAlignment="1">
      <alignment horizontal="left" vertical="center" wrapText="1"/>
    </xf>
    <xf numFmtId="0" fontId="9" fillId="0" borderId="0" xfId="0" applyNumberFormat="1" applyFont="1" applyFill="1" applyBorder="1" applyAlignment="1" applyProtection="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3" fontId="6" fillId="3" borderId="1" xfId="0" applyNumberFormat="1"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180" fontId="13" fillId="3"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69" fillId="0" borderId="1" xfId="0" applyNumberFormat="1" applyFont="1" applyFill="1" applyBorder="1" applyAlignment="1">
      <alignment horizontal="left" vertical="center" wrapText="1"/>
    </xf>
    <xf numFmtId="176" fontId="69" fillId="0" borderId="1" xfId="0" applyNumberFormat="1" applyFont="1" applyFill="1" applyBorder="1" applyAlignment="1">
      <alignment horizontal="center" vertical="center" wrapText="1"/>
    </xf>
    <xf numFmtId="177" fontId="69"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69" fillId="0" borderId="1" xfId="0" applyFont="1" applyFill="1" applyBorder="1" applyAlignment="1">
      <alignment horizontal="left" vertical="center" wrapText="1"/>
    </xf>
    <xf numFmtId="0" fontId="71" fillId="0" borderId="0" xfId="0" applyFont="1" applyFill="1">
      <alignment vertical="center"/>
    </xf>
    <xf numFmtId="0" fontId="13" fillId="0" borderId="3" xfId="0"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3"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0" applyFont="1" applyBorder="1" applyAlignment="1">
      <alignment horizontal="center" vertical="center" wrapText="1"/>
    </xf>
    <xf numFmtId="0" fontId="13" fillId="0" borderId="2" xfId="0" applyFont="1" applyFill="1" applyBorder="1" applyAlignment="1">
      <alignment horizontal="center" vertical="center"/>
    </xf>
    <xf numFmtId="180" fontId="69" fillId="0" borderId="1" xfId="0" applyNumberFormat="1" applyFont="1" applyFill="1" applyBorder="1" applyAlignment="1">
      <alignment horizontal="center" vertical="center" wrapText="1"/>
    </xf>
    <xf numFmtId="181" fontId="69"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180"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13" fillId="0" borderId="4" xfId="0" applyFont="1" applyFill="1" applyBorder="1" applyAlignment="1">
      <alignment horizontal="center" vertical="center"/>
    </xf>
    <xf numFmtId="0" fontId="72" fillId="0" borderId="1" xfId="0" applyFont="1" applyFill="1" applyBorder="1" applyAlignment="1">
      <alignment horizontal="left" vertical="center"/>
    </xf>
    <xf numFmtId="0" fontId="69" fillId="0" borderId="1" xfId="0" applyFont="1" applyFill="1" applyBorder="1" applyAlignment="1">
      <alignment horizontal="center" vertical="center" wrapText="1"/>
    </xf>
    <xf numFmtId="0" fontId="73" fillId="0" borderId="1" xfId="0" applyFont="1" applyFill="1" applyBorder="1" applyAlignment="1">
      <alignment horizontal="left" vertical="center"/>
    </xf>
    <xf numFmtId="0" fontId="74" fillId="0" borderId="1" xfId="0" applyFont="1" applyFill="1" applyBorder="1" applyAlignment="1">
      <alignment horizontal="left" vertical="center" wrapText="1"/>
    </xf>
    <xf numFmtId="0" fontId="75" fillId="0" borderId="1" xfId="0" applyFont="1" applyFill="1" applyBorder="1" applyAlignment="1">
      <alignment horizontal="center" vertical="center" wrapText="1"/>
    </xf>
    <xf numFmtId="180" fontId="75"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9" fillId="0" borderId="1" xfId="0" applyFont="1" applyFill="1" applyBorder="1" applyAlignment="1">
      <alignment horizontal="center" vertical="center"/>
    </xf>
    <xf numFmtId="0" fontId="76" fillId="0" borderId="1" xfId="0" applyFont="1" applyFill="1" applyBorder="1" applyAlignment="1">
      <alignment horizontal="left" vertical="center" wrapText="1"/>
    </xf>
    <xf numFmtId="0" fontId="77" fillId="0" borderId="1" xfId="0" applyFont="1" applyFill="1" applyBorder="1" applyAlignment="1">
      <alignment horizontal="left" vertical="center" wrapText="1"/>
    </xf>
    <xf numFmtId="0" fontId="77" fillId="0" borderId="1" xfId="0" applyFont="1" applyFill="1" applyBorder="1" applyAlignment="1">
      <alignment horizontal="center" vertical="center" wrapText="1"/>
    </xf>
    <xf numFmtId="176" fontId="77" fillId="0" borderId="1" xfId="0" applyNumberFormat="1" applyFont="1" applyFill="1" applyBorder="1" applyAlignment="1">
      <alignment horizontal="center" vertical="center" wrapText="1"/>
    </xf>
    <xf numFmtId="181" fontId="75"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xf>
    <xf numFmtId="0" fontId="69" fillId="0" borderId="0" xfId="0" applyFont="1" applyAlignment="1">
      <alignment horizontal="center" vertical="center"/>
    </xf>
    <xf numFmtId="0" fontId="69" fillId="0" borderId="0" xfId="0" applyFont="1" applyAlignment="1">
      <alignment horizontal="left" vertical="center"/>
    </xf>
    <xf numFmtId="0" fontId="75" fillId="0" borderId="0" xfId="0" applyFont="1" applyAlignment="1">
      <alignment horizontal="center" vertical="center"/>
    </xf>
    <xf numFmtId="0" fontId="75" fillId="0" borderId="0" xfId="0" applyFont="1" applyAlignment="1">
      <alignment horizontal="left" vertical="center"/>
    </xf>
    <xf numFmtId="0" fontId="74"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75" fillId="0" borderId="0" xfId="0" applyFont="1" applyFill="1" applyAlignment="1">
      <alignment horizontal="center" vertical="center"/>
    </xf>
    <xf numFmtId="0" fontId="75" fillId="0" borderId="0" xfId="0" applyFont="1" applyFill="1" applyAlignment="1">
      <alignment horizontal="left" vertical="center"/>
    </xf>
    <xf numFmtId="0" fontId="74" fillId="0" borderId="0" xfId="0" applyFont="1" applyFill="1" applyAlignment="1">
      <alignment horizontal="left" vertical="center"/>
    </xf>
    <xf numFmtId="0" fontId="75" fillId="0" borderId="0" xfId="0" applyFont="1" applyFill="1" applyAlignment="1">
      <alignment horizontal="center" vertical="center" wrapText="1"/>
    </xf>
    <xf numFmtId="0" fontId="78" fillId="0" borderId="0" xfId="0" applyFont="1" applyFill="1">
      <alignment vertical="center"/>
    </xf>
    <xf numFmtId="0" fontId="74" fillId="0" borderId="1" xfId="0" applyFont="1" applyFill="1" applyBorder="1" applyAlignment="1">
      <alignment horizontal="center" vertical="center" wrapText="1"/>
    </xf>
    <xf numFmtId="0" fontId="75" fillId="0" borderId="1" xfId="0" applyFont="1" applyBorder="1" applyAlignment="1">
      <alignment horizontal="left" vertical="center" wrapText="1"/>
    </xf>
    <xf numFmtId="176" fontId="75" fillId="0" borderId="1" xfId="0" applyNumberFormat="1" applyFont="1" applyFill="1" applyBorder="1" applyAlignment="1">
      <alignment horizontal="center" vertical="center" wrapText="1"/>
    </xf>
    <xf numFmtId="0" fontId="75" fillId="0" borderId="1" xfId="0" applyFont="1" applyBorder="1" applyAlignment="1">
      <alignment horizontal="center" vertical="center"/>
    </xf>
    <xf numFmtId="3" fontId="75" fillId="0" borderId="1" xfId="0" applyNumberFormat="1" applyFont="1" applyFill="1" applyBorder="1" applyAlignment="1">
      <alignment horizontal="center" vertical="center" wrapText="1"/>
    </xf>
    <xf numFmtId="182" fontId="77" fillId="0" borderId="1" xfId="0" applyNumberFormat="1" applyFont="1" applyFill="1" applyBorder="1" applyAlignment="1">
      <alignment horizontal="center" vertical="center" wrapText="1"/>
    </xf>
    <xf numFmtId="176" fontId="0" fillId="0" borderId="0" xfId="0" applyNumberFormat="1" applyFill="1" applyAlignment="1">
      <alignment horizontal="center" vertical="center"/>
    </xf>
    <xf numFmtId="0" fontId="70" fillId="0" borderId="0" xfId="0" applyFont="1" applyFill="1" applyBorder="1" applyAlignment="1">
      <alignment horizontal="center" vertical="center" wrapText="1"/>
    </xf>
    <xf numFmtId="176" fontId="70" fillId="0" borderId="0"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6" xfId="0" applyFont="1" applyFill="1" applyBorder="1" applyAlignment="1">
      <alignment horizontal="center" vertical="center" wrapText="1"/>
    </xf>
    <xf numFmtId="176" fontId="12" fillId="3" borderId="2" xfId="0" applyNumberFormat="1" applyFont="1" applyFill="1" applyBorder="1" applyAlignment="1">
      <alignment horizontal="center" vertical="center"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wrapText="1"/>
    </xf>
    <xf numFmtId="0" fontId="9" fillId="3" borderId="2" xfId="0" applyFont="1" applyFill="1" applyBorder="1" applyAlignment="1">
      <alignment horizontal="center" vertical="center"/>
    </xf>
    <xf numFmtId="176" fontId="12" fillId="3" borderId="3" xfId="0" applyNumberFormat="1" applyFont="1" applyFill="1" applyBorder="1" applyAlignment="1">
      <alignment horizontal="center" vertical="center" wrapText="1"/>
    </xf>
    <xf numFmtId="0" fontId="12" fillId="3" borderId="3" xfId="0" applyFont="1" applyFill="1" applyBorder="1" applyAlignment="1">
      <alignment horizontal="center" vertical="center"/>
    </xf>
    <xf numFmtId="176" fontId="72" fillId="0" borderId="1" xfId="0" applyNumberFormat="1" applyFont="1" applyFill="1" applyBorder="1" applyAlignment="1">
      <alignment horizontal="center" vertical="center"/>
    </xf>
    <xf numFmtId="0" fontId="74" fillId="0" borderId="1" xfId="0" applyFont="1" applyFill="1" applyBorder="1">
      <alignment vertical="center"/>
    </xf>
    <xf numFmtId="0" fontId="20"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0" fillId="0" borderId="1" xfId="0" applyFill="1" applyBorder="1">
      <alignment vertical="center"/>
    </xf>
    <xf numFmtId="176" fontId="0" fillId="0" borderId="1" xfId="0" applyNumberFormat="1" applyFill="1" applyBorder="1" applyAlignment="1">
      <alignment horizontal="center" vertical="center"/>
    </xf>
    <xf numFmtId="0" fontId="0" fillId="0" borderId="0" xfId="0" applyAlignment="1">
      <alignment horizontal="center" vertical="center"/>
    </xf>
    <xf numFmtId="0" fontId="0" fillId="0" borderId="0" xfId="0" applyFont="1" applyFill="1" applyBorder="1" applyAlignment="1">
      <alignment horizontal="center" vertical="center"/>
    </xf>
    <xf numFmtId="0" fontId="79" fillId="0" borderId="0" xfId="0" applyFont="1" applyFill="1" applyBorder="1" applyAlignment="1">
      <alignment horizontal="center" vertical="center" wrapText="1"/>
    </xf>
    <xf numFmtId="176" fontId="79" fillId="0" borderId="0" xfId="0" applyNumberFormat="1" applyFont="1" applyFill="1" applyBorder="1" applyAlignment="1">
      <alignment horizontal="center" vertical="center" wrapText="1"/>
    </xf>
    <xf numFmtId="0" fontId="19" fillId="3" borderId="2" xfId="0" applyFont="1" applyFill="1" applyBorder="1" applyAlignment="1">
      <alignment horizontal="center" vertical="center" wrapText="1"/>
    </xf>
    <xf numFmtId="176" fontId="69" fillId="3" borderId="2" xfId="0" applyNumberFormat="1" applyFont="1" applyFill="1" applyBorder="1" applyAlignment="1">
      <alignment horizontal="center" vertical="center" wrapText="1"/>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wrapText="1"/>
    </xf>
    <xf numFmtId="0" fontId="80" fillId="3" borderId="5" xfId="0" applyFont="1" applyFill="1" applyBorder="1" applyAlignment="1">
      <alignment horizontal="center" vertical="center" wrapText="1"/>
    </xf>
    <xf numFmtId="0" fontId="80" fillId="3" borderId="6" xfId="0" applyFont="1" applyFill="1" applyBorder="1" applyAlignment="1">
      <alignment horizontal="center" vertical="center"/>
    </xf>
    <xf numFmtId="176" fontId="69" fillId="3" borderId="4" xfId="0" applyNumberFormat="1" applyFont="1" applyFill="1" applyBorder="1" applyAlignment="1">
      <alignment horizontal="center" vertical="center" wrapText="1"/>
    </xf>
    <xf numFmtId="0" fontId="19" fillId="3" borderId="4" xfId="0" applyFont="1" applyFill="1" applyBorder="1" applyAlignment="1">
      <alignment horizontal="center" vertical="center"/>
    </xf>
    <xf numFmtId="0" fontId="17" fillId="0" borderId="2"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7" fillId="0" borderId="3" xfId="0" applyFont="1" applyFill="1" applyBorder="1" applyAlignment="1">
      <alignment horizontal="center" vertical="center"/>
    </xf>
    <xf numFmtId="176" fontId="0"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0" fillId="3" borderId="5"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 xfId="0" applyFont="1" applyFill="1" applyBorder="1" applyAlignment="1">
      <alignment horizontal="center" vertical="center" wrapText="1"/>
    </xf>
    <xf numFmtId="176" fontId="7" fillId="0" borderId="0" xfId="0" applyNumberFormat="1" applyFont="1" applyFill="1" applyBorder="1" applyAlignment="1">
      <alignment vertical="center"/>
    </xf>
    <xf numFmtId="43" fontId="7" fillId="0" borderId="0" xfId="0" applyNumberFormat="1" applyFont="1" applyFill="1" applyBorder="1" applyAlignment="1">
      <alignment horizontal="center" vertical="center"/>
    </xf>
    <xf numFmtId="176" fontId="65" fillId="0" borderId="0" xfId="0" applyNumberFormat="1" applyFont="1" applyFill="1" applyBorder="1" applyAlignment="1">
      <alignment horizontal="center" vertical="center"/>
    </xf>
    <xf numFmtId="43" fontId="65" fillId="0" borderId="0" xfId="0" applyNumberFormat="1" applyFont="1" applyFill="1" applyBorder="1" applyAlignment="1">
      <alignment horizontal="center" vertical="center"/>
    </xf>
    <xf numFmtId="0" fontId="66" fillId="0" borderId="0" xfId="0" applyFont="1" applyFill="1" applyBorder="1" applyAlignment="1">
      <alignment horizontal="left" vertical="center"/>
    </xf>
    <xf numFmtId="176" fontId="4" fillId="3" borderId="1" xfId="0" applyNumberFormat="1" applyFont="1" applyFill="1" applyBorder="1" applyAlignment="1">
      <alignment horizontal="center" vertical="center"/>
    </xf>
    <xf numFmtId="43" fontId="4" fillId="3" borderId="1" xfId="0" applyNumberFormat="1" applyFont="1" applyFill="1" applyBorder="1" applyAlignment="1">
      <alignment horizontal="center" vertical="center"/>
    </xf>
    <xf numFmtId="0" fontId="67" fillId="0" borderId="1" xfId="0" applyFont="1" applyFill="1" applyBorder="1" applyAlignment="1">
      <alignment horizontal="center" vertical="center"/>
    </xf>
    <xf numFmtId="43" fontId="7" fillId="0" borderId="1" xfId="0" applyNumberFormat="1" applyFont="1" applyFill="1" applyBorder="1" applyAlignment="1">
      <alignment horizontal="center" vertical="center"/>
    </xf>
    <xf numFmtId="0" fontId="7" fillId="3" borderId="1" xfId="0" applyFont="1" applyFill="1" applyBorder="1" applyAlignment="1">
      <alignment horizontal="center" vertical="center"/>
    </xf>
    <xf numFmtId="176" fontId="7" fillId="3" borderId="1" xfId="0" applyNumberFormat="1" applyFont="1" applyFill="1" applyBorder="1" applyAlignment="1">
      <alignment vertical="center"/>
    </xf>
    <xf numFmtId="43" fontId="7" fillId="3" borderId="1" xfId="0" applyNumberFormat="1" applyFont="1" applyFill="1" applyBorder="1" applyAlignment="1">
      <alignment horizontal="center" vertical="center"/>
    </xf>
    <xf numFmtId="176" fontId="1" fillId="0" borderId="0" xfId="0" applyNumberFormat="1" applyFont="1" applyFill="1" applyAlignment="1">
      <alignment horizontal="center" vertical="center"/>
    </xf>
    <xf numFmtId="176" fontId="70" fillId="0" borderId="0" xfId="0" applyNumberFormat="1" applyFont="1" applyFill="1" applyAlignment="1">
      <alignment horizontal="center" vertical="center"/>
    </xf>
    <xf numFmtId="0" fontId="1" fillId="0" borderId="0" xfId="0" applyFont="1" applyFill="1" applyBorder="1" applyAlignment="1">
      <alignment vertical="center"/>
    </xf>
    <xf numFmtId="0" fontId="1" fillId="0" borderId="10" xfId="0" applyFont="1" applyFill="1" applyBorder="1" applyAlignment="1">
      <alignment vertical="center"/>
    </xf>
    <xf numFmtId="176" fontId="1" fillId="0" borderId="10" xfId="0" applyNumberFormat="1" applyFont="1" applyFill="1" applyBorder="1" applyAlignment="1">
      <alignment horizontal="center" vertical="center"/>
    </xf>
    <xf numFmtId="0" fontId="1" fillId="0" borderId="0" xfId="0" applyFont="1" applyFill="1" applyAlignment="1">
      <alignment horizontal="right" vertical="center"/>
    </xf>
    <xf numFmtId="0" fontId="1" fillId="3" borderId="2" xfId="0" applyFont="1" applyFill="1" applyBorder="1" applyAlignment="1">
      <alignment horizontal="center" vertical="center" wrapText="1"/>
    </xf>
    <xf numFmtId="176" fontId="1" fillId="3" borderId="2" xfId="0" applyNumberFormat="1"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wrapText="1"/>
    </xf>
    <xf numFmtId="176" fontId="1" fillId="3" borderId="4" xfId="0" applyNumberFormat="1" applyFont="1" applyFill="1" applyBorder="1" applyAlignment="1">
      <alignment horizontal="center" vertical="center" wrapText="1"/>
    </xf>
    <xf numFmtId="0" fontId="69" fillId="3" borderId="4" xfId="0" applyFont="1" applyFill="1" applyBorder="1" applyAlignment="1">
      <alignment horizontal="center" vertical="center" wrapText="1"/>
    </xf>
    <xf numFmtId="181" fontId="69" fillId="3" borderId="4" xfId="0" applyNumberFormat="1" applyFont="1" applyFill="1" applyBorder="1" applyAlignment="1">
      <alignment horizontal="center" vertical="center" wrapText="1"/>
    </xf>
    <xf numFmtId="0" fontId="69" fillId="0" borderId="2" xfId="0" applyFont="1" applyFill="1" applyBorder="1" applyAlignment="1">
      <alignment horizontal="center" vertical="center"/>
    </xf>
    <xf numFmtId="0" fontId="1" fillId="0" borderId="1" xfId="0" applyFont="1" applyFill="1" applyBorder="1" applyAlignment="1">
      <alignment vertical="center"/>
    </xf>
    <xf numFmtId="181" fontId="69" fillId="0" borderId="1" xfId="0" applyNumberFormat="1" applyFont="1" applyFill="1" applyBorder="1" applyAlignment="1">
      <alignment horizontal="center" vertical="center"/>
    </xf>
    <xf numFmtId="0" fontId="69" fillId="0" borderId="3" xfId="0" applyFont="1" applyFill="1" applyBorder="1" applyAlignment="1">
      <alignment horizontal="center" vertical="center"/>
    </xf>
    <xf numFmtId="0" fontId="69" fillId="0" borderId="4" xfId="0" applyFont="1" applyFill="1" applyBorder="1" applyAlignment="1">
      <alignment horizontal="center" vertical="center"/>
    </xf>
    <xf numFmtId="0" fontId="81" fillId="0" borderId="1" xfId="0" applyFont="1" applyFill="1" applyBorder="1" applyAlignment="1">
      <alignment horizontal="center" vertical="center" wrapText="1"/>
    </xf>
    <xf numFmtId="0" fontId="20" fillId="0" borderId="1" xfId="0" applyFont="1" applyFill="1" applyBorder="1" applyAlignment="1">
      <alignment horizontal="left" vertical="center"/>
    </xf>
    <xf numFmtId="176" fontId="1" fillId="0" borderId="1" xfId="52" applyNumberFormat="1" applyFont="1" applyFill="1" applyBorder="1" applyAlignment="1">
      <alignment horizontal="center" vertical="center"/>
    </xf>
    <xf numFmtId="0" fontId="1" fillId="0" borderId="1" xfId="52"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52" applyFont="1" applyFill="1" applyBorder="1" applyAlignment="1">
      <alignment horizontal="center" vertical="center" wrapText="1"/>
    </xf>
    <xf numFmtId="176" fontId="1" fillId="0" borderId="2" xfId="52" applyNumberFormat="1" applyFont="1" applyFill="1" applyBorder="1" applyAlignment="1">
      <alignment horizontal="center" vertical="center"/>
    </xf>
    <xf numFmtId="0" fontId="1" fillId="0" borderId="2" xfId="52" applyFont="1" applyFill="1" applyBorder="1" applyAlignment="1">
      <alignment horizontal="center" vertical="center"/>
    </xf>
    <xf numFmtId="0" fontId="82" fillId="0" borderId="1" xfId="0" applyFont="1" applyFill="1" applyBorder="1" applyAlignment="1">
      <alignment horizontal="left" vertical="center"/>
    </xf>
    <xf numFmtId="176" fontId="0" fillId="0" borderId="1" xfId="0" applyNumberFormat="1" applyFont="1" applyFill="1" applyBorder="1" applyAlignment="1">
      <alignment horizontal="center" vertical="center"/>
    </xf>
    <xf numFmtId="181" fontId="19" fillId="0" borderId="1" xfId="0" applyNumberFormat="1" applyFont="1" applyFill="1" applyBorder="1" applyAlignment="1">
      <alignment horizontal="center" vertical="center"/>
    </xf>
    <xf numFmtId="0" fontId="82" fillId="0" borderId="1" xfId="0" applyFont="1" applyFill="1" applyBorder="1" applyAlignment="1">
      <alignment horizontal="center" vertical="center"/>
    </xf>
    <xf numFmtId="0" fontId="83" fillId="0" borderId="1" xfId="0" applyFont="1" applyFill="1" applyBorder="1">
      <alignment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73"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84" fillId="0" borderId="0" xfId="0" applyFont="1" applyFill="1" applyBorder="1" applyAlignment="1">
      <alignment horizontal="center" vertical="center"/>
    </xf>
    <xf numFmtId="0" fontId="84" fillId="0" borderId="0" xfId="0" applyFont="1" applyFill="1" applyBorder="1" applyAlignment="1">
      <alignment horizontal="center" vertical="center" wrapText="1"/>
    </xf>
    <xf numFmtId="0" fontId="84"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2" fillId="3" borderId="1" xfId="0" applyFont="1" applyFill="1" applyBorder="1" applyAlignment="1">
      <alignment horizontal="center" vertical="center" wrapText="1"/>
    </xf>
    <xf numFmtId="0" fontId="72" fillId="3" borderId="2" xfId="0" applyFont="1" applyFill="1" applyBorder="1" applyAlignment="1">
      <alignment horizontal="center" vertical="center" wrapText="1"/>
    </xf>
    <xf numFmtId="0" fontId="73" fillId="0" borderId="0" xfId="0" applyFont="1" applyFill="1" applyBorder="1" applyAlignment="1">
      <alignment horizontal="center" vertical="center"/>
    </xf>
    <xf numFmtId="0" fontId="72" fillId="0" borderId="3" xfId="0" applyFont="1" applyFill="1" applyBorder="1" applyAlignment="1">
      <alignment horizontal="center" vertical="center"/>
    </xf>
    <xf numFmtId="0" fontId="20" fillId="0" borderId="2" xfId="0" applyFont="1" applyFill="1" applyBorder="1" applyAlignment="1">
      <alignment horizontal="center" vertical="center"/>
    </xf>
    <xf numFmtId="176" fontId="20" fillId="0" borderId="1" xfId="0" applyNumberFormat="1" applyFont="1" applyFill="1" applyBorder="1" applyAlignment="1">
      <alignment horizontal="center" vertical="center"/>
    </xf>
    <xf numFmtId="0" fontId="75" fillId="0" borderId="0"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0" xfId="0" applyFont="1" applyFill="1" applyBorder="1" applyAlignment="1">
      <alignment horizontal="center" vertical="center" wrapText="1"/>
    </xf>
    <xf numFmtId="0" fontId="82" fillId="0" borderId="1" xfId="0" applyFont="1" applyFill="1" applyBorder="1" applyAlignment="1" applyProtection="1">
      <alignment horizontal="center" vertical="center" wrapText="1"/>
      <protection locked="0"/>
    </xf>
    <xf numFmtId="0" fontId="82" fillId="0" borderId="1" xfId="0" applyFont="1" applyFill="1" applyBorder="1" applyAlignment="1">
      <alignment horizontal="center" vertical="center" wrapText="1"/>
    </xf>
    <xf numFmtId="0" fontId="20" fillId="0" borderId="8" xfId="0" applyFont="1" applyFill="1" applyBorder="1" applyAlignment="1">
      <alignment horizontal="center" vertical="center"/>
    </xf>
    <xf numFmtId="0" fontId="72" fillId="0" borderId="4" xfId="0" applyFont="1" applyFill="1" applyBorder="1" applyAlignment="1">
      <alignment vertical="center"/>
    </xf>
    <xf numFmtId="0" fontId="73" fillId="3" borderId="5" xfId="0" applyFont="1" applyFill="1" applyBorder="1" applyAlignment="1">
      <alignment horizontal="center" vertical="center"/>
    </xf>
    <xf numFmtId="0" fontId="73" fillId="3" borderId="6" xfId="0" applyFont="1" applyFill="1" applyBorder="1" applyAlignment="1">
      <alignment horizontal="center" vertical="center"/>
    </xf>
    <xf numFmtId="0" fontId="69" fillId="0" borderId="0" xfId="0" applyFont="1" applyFill="1" applyBorder="1" applyAlignment="1">
      <alignment vertical="center"/>
    </xf>
    <xf numFmtId="0" fontId="75" fillId="0" borderId="1" xfId="0" applyFont="1" applyFill="1" applyBorder="1" applyAlignment="1">
      <alignment horizontal="center" vertical="center"/>
    </xf>
    <xf numFmtId="0" fontId="7" fillId="8"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176" fontId="8" fillId="0" borderId="0" xfId="0" applyNumberFormat="1" applyFont="1" applyFill="1" applyBorder="1" applyAlignment="1">
      <alignment horizontal="center" vertical="center"/>
    </xf>
    <xf numFmtId="0" fontId="8" fillId="0" borderId="0" xfId="0" applyFont="1" applyFill="1" applyBorder="1" applyAlignment="1">
      <alignment horizontal="left" vertical="center" wrapText="1"/>
    </xf>
    <xf numFmtId="176" fontId="12" fillId="0" borderId="0" xfId="0" applyNumberFormat="1" applyFont="1" applyFill="1" applyBorder="1" applyAlignment="1">
      <alignment vertical="center"/>
    </xf>
    <xf numFmtId="0" fontId="79" fillId="0" borderId="0" xfId="0" applyFont="1" applyFill="1" applyBorder="1" applyAlignment="1">
      <alignment horizontal="center" vertical="center"/>
    </xf>
    <xf numFmtId="0" fontId="15" fillId="0" borderId="0" xfId="0" applyFont="1" applyFill="1" applyBorder="1" applyAlignment="1">
      <alignment horizontal="center" vertical="center"/>
    </xf>
    <xf numFmtId="176" fontId="15" fillId="0" borderId="0" xfId="0" applyNumberFormat="1" applyFont="1" applyFill="1" applyBorder="1" applyAlignment="1">
      <alignment horizontal="center" vertical="center"/>
    </xf>
    <xf numFmtId="0" fontId="15" fillId="0" borderId="10" xfId="0" applyFont="1" applyFill="1" applyBorder="1" applyAlignment="1">
      <alignment horizontal="center" vertical="center"/>
    </xf>
    <xf numFmtId="176" fontId="15" fillId="0" borderId="10" xfId="0" applyNumberFormat="1" applyFont="1" applyFill="1" applyBorder="1" applyAlignment="1">
      <alignment horizontal="center" vertical="center"/>
    </xf>
    <xf numFmtId="0" fontId="17" fillId="2" borderId="6"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176" fontId="17" fillId="2" borderId="1" xfId="0" applyNumberFormat="1" applyFont="1" applyFill="1" applyBorder="1" applyAlignment="1" applyProtection="1">
      <alignment horizontal="center" vertical="center" wrapText="1"/>
      <protection locked="0"/>
    </xf>
    <xf numFmtId="181" fontId="17" fillId="2"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center" wrapText="1"/>
      <protection locked="0"/>
    </xf>
    <xf numFmtId="176" fontId="12" fillId="2" borderId="1" xfId="0" applyNumberFormat="1" applyFont="1" applyFill="1" applyBorder="1" applyAlignment="1" applyProtection="1">
      <alignment horizontal="center" vertical="center" wrapText="1"/>
      <protection locked="0"/>
    </xf>
    <xf numFmtId="0" fontId="17" fillId="2" borderId="9" xfId="0" applyFont="1" applyFill="1" applyBorder="1" applyAlignment="1" applyProtection="1">
      <alignment horizontal="center" vertical="center" wrapText="1"/>
      <protection locked="0"/>
    </xf>
    <xf numFmtId="0" fontId="85" fillId="2" borderId="1" xfId="0" applyFont="1" applyFill="1" applyBorder="1" applyAlignment="1" applyProtection="1">
      <alignment horizontal="center" vertical="center" wrapText="1"/>
      <protection locked="0"/>
    </xf>
    <xf numFmtId="0" fontId="85" fillId="2" borderId="6" xfId="0" applyFont="1" applyFill="1" applyBorder="1" applyAlignment="1" applyProtection="1">
      <alignment horizontal="center" vertical="center" wrapText="1"/>
      <protection locked="0"/>
    </xf>
    <xf numFmtId="0" fontId="86" fillId="2" borderId="1" xfId="0" applyFont="1" applyFill="1" applyBorder="1" applyAlignment="1" applyProtection="1">
      <alignment horizontal="center" vertical="center" wrapText="1"/>
      <protection locked="0"/>
    </xf>
    <xf numFmtId="176" fontId="85" fillId="2" borderId="1" xfId="0" applyNumberFormat="1" applyFont="1" applyFill="1" applyBorder="1" applyAlignment="1" applyProtection="1">
      <alignment horizontal="center" vertical="center" wrapText="1"/>
      <protection locked="0"/>
    </xf>
    <xf numFmtId="181" fontId="85" fillId="2" borderId="1" xfId="0" applyNumberFormat="1" applyFont="1" applyFill="1" applyBorder="1" applyAlignment="1" applyProtection="1">
      <alignment horizontal="center" vertical="center" wrapText="1"/>
      <protection locked="0"/>
    </xf>
    <xf numFmtId="0" fontId="86" fillId="2" borderId="1" xfId="0" applyFont="1" applyFill="1" applyBorder="1" applyAlignment="1" applyProtection="1">
      <alignment horizontal="left" vertical="center" wrapText="1"/>
      <protection locked="0"/>
    </xf>
    <xf numFmtId="176" fontId="86" fillId="2" borderId="3" xfId="0" applyNumberFormat="1" applyFont="1" applyFill="1" applyBorder="1" applyAlignment="1" applyProtection="1">
      <alignment horizontal="center" vertical="center" wrapText="1"/>
      <protection locked="0"/>
    </xf>
    <xf numFmtId="0" fontId="17" fillId="0" borderId="9"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6"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76" fontId="17" fillId="0" borderId="1" xfId="0" applyNumberFormat="1" applyFont="1" applyFill="1" applyBorder="1" applyAlignment="1" applyProtection="1">
      <alignment horizontal="center" vertical="center" wrapText="1"/>
      <protection locked="0"/>
    </xf>
    <xf numFmtId="181" fontId="17"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176" fontId="87" fillId="0" borderId="2" xfId="0" applyNumberFormat="1" applyFont="1" applyFill="1" applyBorder="1" applyAlignment="1" applyProtection="1">
      <alignment horizontal="center" vertical="center" wrapText="1"/>
      <protection locked="0"/>
    </xf>
    <xf numFmtId="0" fontId="88" fillId="0" borderId="1" xfId="0" applyFont="1" applyFill="1" applyBorder="1" applyAlignment="1">
      <alignment horizontal="center" vertical="center" wrapText="1"/>
    </xf>
    <xf numFmtId="0" fontId="82" fillId="0" borderId="1" xfId="0" applyFont="1" applyFill="1" applyBorder="1" applyAlignment="1" applyProtection="1">
      <alignment horizontal="left" vertical="center" wrapText="1"/>
      <protection locked="0"/>
    </xf>
    <xf numFmtId="0" fontId="82" fillId="0" borderId="6"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176" fontId="82" fillId="0" borderId="1" xfId="0" applyNumberFormat="1" applyFont="1" applyFill="1" applyBorder="1" applyAlignment="1" applyProtection="1">
      <alignment horizontal="center" vertical="center" wrapText="1"/>
      <protection locked="0"/>
    </xf>
    <xf numFmtId="181" fontId="82"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176" fontId="73" fillId="0" borderId="1" xfId="0" applyNumberFormat="1" applyFont="1" applyFill="1" applyBorder="1" applyAlignment="1" applyProtection="1">
      <alignment horizontal="center" vertical="center" wrapText="1"/>
      <protection locked="0"/>
    </xf>
    <xf numFmtId="0" fontId="88" fillId="8" borderId="2" xfId="0" applyFont="1" applyFill="1" applyBorder="1" applyAlignment="1">
      <alignment horizontal="center" vertical="center" wrapText="1"/>
    </xf>
    <xf numFmtId="0" fontId="82" fillId="8" borderId="1" xfId="0" applyFont="1" applyFill="1" applyBorder="1" applyAlignment="1">
      <alignment horizontal="left" vertical="center" wrapText="1"/>
    </xf>
    <xf numFmtId="0" fontId="82" fillId="8" borderId="6" xfId="0" applyFont="1" applyFill="1" applyBorder="1" applyAlignment="1">
      <alignment horizontal="center" vertical="center" wrapText="1"/>
    </xf>
    <xf numFmtId="0" fontId="0" fillId="8" borderId="1" xfId="0" applyFont="1" applyFill="1" applyBorder="1" applyAlignment="1">
      <alignment horizontal="center" vertical="center"/>
    </xf>
    <xf numFmtId="176" fontId="82" fillId="8" borderId="1" xfId="0" applyNumberFormat="1" applyFont="1" applyFill="1" applyBorder="1" applyAlignment="1">
      <alignment horizontal="center" vertical="center" wrapText="1"/>
    </xf>
    <xf numFmtId="181" fontId="82" fillId="8" borderId="1" xfId="0" applyNumberFormat="1" applyFont="1" applyFill="1" applyBorder="1" applyAlignment="1">
      <alignment horizontal="center" vertical="center" wrapText="1"/>
    </xf>
    <xf numFmtId="0" fontId="0" fillId="8" borderId="1" xfId="0" applyFont="1" applyFill="1" applyBorder="1" applyAlignment="1">
      <alignment horizontal="left" vertical="center" wrapText="1"/>
    </xf>
    <xf numFmtId="176" fontId="73" fillId="8" borderId="1" xfId="0" applyNumberFormat="1" applyFont="1" applyFill="1" applyBorder="1" applyAlignment="1" applyProtection="1">
      <alignment horizontal="center" vertical="center" wrapText="1"/>
      <protection locked="0"/>
    </xf>
    <xf numFmtId="0" fontId="88" fillId="8" borderId="3" xfId="0" applyFont="1" applyFill="1" applyBorder="1" applyAlignment="1">
      <alignment horizontal="center" vertical="center" wrapText="1"/>
    </xf>
    <xf numFmtId="0" fontId="88" fillId="8"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8" borderId="6" xfId="0" applyFont="1" applyFill="1" applyBorder="1" applyAlignment="1">
      <alignment horizontal="center" vertical="center"/>
    </xf>
    <xf numFmtId="176" fontId="0" fillId="8" borderId="1" xfId="0" applyNumberFormat="1" applyFont="1" applyFill="1" applyBorder="1" applyAlignment="1">
      <alignment horizontal="center" vertical="center"/>
    </xf>
    <xf numFmtId="0" fontId="5" fillId="8"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1" xfId="0" applyFont="1" applyFill="1" applyBorder="1" applyAlignment="1">
      <alignment horizontal="center" vertical="center"/>
    </xf>
    <xf numFmtId="176" fontId="73"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176" fontId="73" fillId="0" borderId="4" xfId="0" applyNumberFormat="1" applyFont="1" applyFill="1" applyBorder="1" applyAlignment="1" applyProtection="1">
      <alignment horizontal="center" vertical="center" wrapText="1"/>
      <protection locked="0"/>
    </xf>
    <xf numFmtId="0" fontId="12" fillId="0" borderId="2"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0" fillId="0" borderId="7" xfId="0" applyFont="1" applyFill="1" applyBorder="1" applyAlignment="1">
      <alignment horizontal="center" vertical="center"/>
    </xf>
    <xf numFmtId="176" fontId="89" fillId="0" borderId="1"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176" fontId="73" fillId="0" borderId="3"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0" fontId="0" fillId="0" borderId="0" xfId="0" applyFont="1" applyFill="1" applyBorder="1" applyAlignment="1">
      <alignment vertical="center" wrapText="1"/>
    </xf>
    <xf numFmtId="176" fontId="73" fillId="0" borderId="4"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73" fillId="0" borderId="2" xfId="0" applyNumberFormat="1" applyFont="1" applyFill="1" applyBorder="1" applyAlignment="1">
      <alignment horizontal="center" vertical="center"/>
    </xf>
    <xf numFmtId="176" fontId="73" fillId="0" borderId="3" xfId="0" applyNumberFormat="1" applyFont="1" applyFill="1" applyBorder="1" applyAlignment="1">
      <alignment horizontal="center" vertical="center"/>
    </xf>
    <xf numFmtId="176" fontId="73" fillId="0" borderId="4"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0" fillId="0" borderId="1" xfId="0" applyFont="1" applyFill="1" applyBorder="1" applyAlignment="1">
      <alignment vertical="center" wrapText="1"/>
    </xf>
    <xf numFmtId="176" fontId="90"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176" fontId="90" fillId="0" borderId="3"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176" fontId="90" fillId="0" borderId="4" xfId="0" applyNumberFormat="1" applyFont="1" applyFill="1" applyBorder="1" applyAlignment="1">
      <alignment horizontal="center" vertical="center" wrapText="1"/>
    </xf>
    <xf numFmtId="0" fontId="8" fillId="0" borderId="0" xfId="0" applyFont="1" applyFill="1" applyAlignment="1">
      <alignment vertical="center"/>
    </xf>
    <xf numFmtId="176" fontId="0" fillId="0" borderId="0" xfId="0" applyNumberFormat="1" applyFont="1" applyFill="1" applyAlignment="1">
      <alignment horizontal="center"/>
    </xf>
    <xf numFmtId="0" fontId="0" fillId="0" borderId="0" xfId="0" applyFont="1" applyFill="1" applyAlignment="1">
      <alignment vertical="center"/>
    </xf>
    <xf numFmtId="176" fontId="12" fillId="0" borderId="0" xfId="0" applyNumberFormat="1" applyFont="1" applyFill="1" applyAlignment="1">
      <alignment vertical="center"/>
    </xf>
    <xf numFmtId="176" fontId="0" fillId="0" borderId="0" xfId="0" applyNumberFormat="1" applyFont="1" applyFill="1" applyBorder="1" applyAlignment="1">
      <alignment horizontal="center"/>
    </xf>
    <xf numFmtId="0" fontId="0" fillId="0" borderId="0" xfId="0" applyFill="1" applyBorder="1" applyAlignment="1"/>
    <xf numFmtId="0" fontId="19" fillId="0" borderId="0" xfId="0" applyFont="1" applyFill="1" applyBorder="1" applyAlignment="1"/>
    <xf numFmtId="0" fontId="0" fillId="0" borderId="0" xfId="0" applyFill="1" applyBorder="1" applyAlignment="1">
      <alignment vertical="center"/>
    </xf>
    <xf numFmtId="0" fontId="0" fillId="0" borderId="0" xfId="0" applyFill="1" applyBorder="1" applyAlignment="1">
      <alignment horizontal="center"/>
    </xf>
    <xf numFmtId="0" fontId="0" fillId="0" borderId="0" xfId="0" applyFill="1" applyBorder="1" applyAlignment="1">
      <alignment wrapText="1"/>
    </xf>
    <xf numFmtId="0" fontId="91" fillId="0" borderId="0" xfId="0" applyFont="1" applyFill="1" applyBorder="1" applyAlignment="1">
      <alignment horizontal="center" vertical="center"/>
    </xf>
    <xf numFmtId="0" fontId="91" fillId="0" borderId="0" xfId="0" applyFont="1" applyFill="1"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0" fillId="0" borderId="0" xfId="0" applyFill="1" applyBorder="1" applyAlignment="1">
      <alignment vertical="center" wrapText="1"/>
    </xf>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49" fontId="0" fillId="0" borderId="1" xfId="50" applyNumberFormat="1"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49" fontId="19" fillId="3" borderId="6" xfId="50" applyNumberFormat="1" applyFont="1" applyFill="1" applyBorder="1" applyAlignment="1">
      <alignment horizontal="center" vertical="center"/>
    </xf>
    <xf numFmtId="0" fontId="19" fillId="3" borderId="1" xfId="0" applyFont="1" applyFill="1" applyBorder="1" applyAlignment="1">
      <alignment horizontal="center" vertical="center" wrapText="1"/>
    </xf>
    <xf numFmtId="0" fontId="19" fillId="3" borderId="1" xfId="0" applyFont="1" applyFill="1" applyBorder="1" applyAlignment="1">
      <alignment vertical="center" wrapText="1"/>
    </xf>
    <xf numFmtId="0" fontId="0" fillId="0" borderId="4" xfId="0" applyFont="1" applyFill="1" applyBorder="1" applyAlignment="1">
      <alignment horizontal="center" vertical="center" wrapText="1"/>
    </xf>
    <xf numFmtId="49" fontId="82" fillId="0" borderId="1" xfId="50" applyNumberFormat="1" applyFont="1" applyFill="1" applyBorder="1" applyAlignment="1">
      <alignment horizontal="center" vertical="center"/>
    </xf>
    <xf numFmtId="0" fontId="8" fillId="0" borderId="5" xfId="0" applyFont="1" applyFill="1" applyBorder="1" applyAlignment="1">
      <alignment horizontal="left" vertical="center" wrapText="1"/>
    </xf>
    <xf numFmtId="49" fontId="19" fillId="0" borderId="6" xfId="50" applyNumberFormat="1" applyFont="1" applyFill="1" applyBorder="1" applyAlignment="1">
      <alignment horizontal="center" vertical="center"/>
    </xf>
    <xf numFmtId="0" fontId="0" fillId="0" borderId="5" xfId="0" applyFont="1" applyFill="1" applyBorder="1" applyAlignment="1">
      <alignment horizontal="left"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 xfId="0" applyFill="1" applyBorder="1" applyAlignment="1">
      <alignment vertical="center" wrapText="1"/>
    </xf>
    <xf numFmtId="0" fontId="0" fillId="0" borderId="20" xfId="0" applyFont="1" applyFill="1" applyBorder="1" applyAlignment="1">
      <alignment horizontal="center" vertical="center" wrapText="1"/>
    </xf>
    <xf numFmtId="49" fontId="82" fillId="0" borderId="2" xfId="50" applyNumberFormat="1" applyFont="1" applyFill="1" applyBorder="1" applyAlignment="1">
      <alignment horizontal="center" vertical="center"/>
    </xf>
    <xf numFmtId="49" fontId="82" fillId="0" borderId="3" xfId="50" applyNumberFormat="1" applyFont="1" applyFill="1" applyBorder="1" applyAlignment="1">
      <alignment horizontal="center" vertical="center"/>
    </xf>
    <xf numFmtId="49" fontId="82" fillId="0" borderId="4" xfId="50" applyNumberFormat="1" applyFont="1" applyFill="1" applyBorder="1" applyAlignment="1">
      <alignment horizontal="center" vertical="center"/>
    </xf>
    <xf numFmtId="0" fontId="58" fillId="0" borderId="1" xfId="0" applyFont="1" applyFill="1" applyBorder="1" applyAlignment="1">
      <alignment horizontal="center" vertical="center" wrapText="1"/>
    </xf>
    <xf numFmtId="0" fontId="58" fillId="0" borderId="1" xfId="0" applyFont="1" applyFill="1" applyBorder="1" applyAlignment="1">
      <alignment vertical="center" wrapText="1"/>
    </xf>
    <xf numFmtId="49" fontId="19" fillId="3" borderId="1" xfId="50" applyNumberFormat="1" applyFont="1" applyFill="1" applyBorder="1" applyAlignment="1">
      <alignment horizontal="center" vertical="center"/>
    </xf>
    <xf numFmtId="0" fontId="0" fillId="0" borderId="14"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1" xfId="0" applyFont="1" applyFill="1" applyBorder="1" applyAlignment="1">
      <alignment vertical="center" wrapText="1"/>
    </xf>
    <xf numFmtId="0" fontId="0" fillId="0" borderId="14" xfId="0" applyFill="1" applyBorder="1" applyAlignment="1">
      <alignment wrapText="1"/>
    </xf>
    <xf numFmtId="0" fontId="1" fillId="0" borderId="1" xfId="50" applyFont="1" applyFill="1" applyBorder="1" applyAlignment="1">
      <alignment horizontal="center" vertical="center"/>
    </xf>
    <xf numFmtId="49" fontId="92" fillId="3" borderId="1" xfId="50" applyNumberFormat="1" applyFont="1" applyFill="1" applyBorder="1" applyAlignment="1">
      <alignment horizontal="center" vertical="center"/>
    </xf>
    <xf numFmtId="0" fontId="19" fillId="0" borderId="14" xfId="0" applyFont="1" applyFill="1" applyBorder="1" applyAlignment="1">
      <alignment vertical="center" wrapText="1"/>
    </xf>
    <xf numFmtId="0" fontId="0" fillId="0" borderId="0" xfId="0" applyFill="1" applyBorder="1" applyAlignment="1">
      <alignment horizontal="left" vertical="center"/>
    </xf>
    <xf numFmtId="0" fontId="0" fillId="0" borderId="0" xfId="0" applyFill="1" applyBorder="1" applyAlignment="1">
      <alignment horizontal="center" wrapText="1"/>
    </xf>
    <xf numFmtId="0" fontId="93" fillId="0" borderId="0" xfId="0" applyFont="1" applyFill="1" applyAlignment="1">
      <alignment horizontal="center" vertical="center"/>
    </xf>
    <xf numFmtId="176" fontId="19" fillId="3" borderId="2" xfId="0" applyNumberFormat="1" applyFont="1" applyFill="1" applyBorder="1" applyAlignment="1">
      <alignment horizontal="center" vertical="center"/>
    </xf>
    <xf numFmtId="176" fontId="19" fillId="3" borderId="5" xfId="0" applyNumberFormat="1" applyFont="1" applyFill="1" applyBorder="1" applyAlignment="1">
      <alignment horizontal="center" vertical="center"/>
    </xf>
    <xf numFmtId="176" fontId="19" fillId="3" borderId="6" xfId="0" applyNumberFormat="1" applyFont="1" applyFill="1" applyBorder="1" applyAlignment="1">
      <alignment horizontal="center" vertical="center"/>
    </xf>
    <xf numFmtId="176" fontId="19" fillId="3" borderId="4" xfId="0" applyNumberFormat="1" applyFont="1" applyFill="1" applyBorder="1" applyAlignment="1">
      <alignment horizontal="center" vertical="center"/>
    </xf>
    <xf numFmtId="176" fontId="19" fillId="3" borderId="1"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0" fillId="0" borderId="1" xfId="0" applyFont="1" applyFill="1" applyBorder="1" applyAlignment="1">
      <alignment vertical="center"/>
    </xf>
    <xf numFmtId="176" fontId="90" fillId="8" borderId="1" xfId="0" applyNumberFormat="1" applyFont="1" applyFill="1" applyBorder="1" applyAlignment="1">
      <alignment horizontal="center" vertical="center"/>
    </xf>
    <xf numFmtId="0" fontId="83" fillId="0" borderId="1" xfId="0" applyFont="1" applyFill="1" applyBorder="1" applyAlignment="1">
      <alignment vertical="center"/>
    </xf>
    <xf numFmtId="0" fontId="19" fillId="0" borderId="3" xfId="0" applyFont="1" applyFill="1" applyBorder="1" applyAlignment="1">
      <alignment horizontal="center" vertical="center"/>
    </xf>
    <xf numFmtId="0" fontId="0" fillId="0" borderId="1" xfId="0" applyFill="1" applyBorder="1" applyAlignment="1">
      <alignment vertical="center"/>
    </xf>
    <xf numFmtId="0" fontId="94" fillId="0" borderId="1" xfId="0" applyFont="1" applyFill="1" applyBorder="1" applyAlignment="1">
      <alignment horizontal="left" vertical="center" wrapText="1"/>
    </xf>
    <xf numFmtId="0" fontId="95" fillId="0" borderId="1" xfId="0" applyFont="1" applyFill="1" applyBorder="1" applyAlignment="1">
      <alignment vertical="center" wrapText="1"/>
    </xf>
    <xf numFmtId="176" fontId="0" fillId="0" borderId="0" xfId="0" applyNumberFormat="1" applyFill="1" applyBorder="1" applyAlignment="1">
      <alignment horizontal="center" vertical="center"/>
    </xf>
    <xf numFmtId="176" fontId="0" fillId="0" borderId="0" xfId="0" applyNumberFormat="1" applyFont="1" applyFill="1" applyBorder="1" applyAlignment="1">
      <alignment horizontal="center" vertical="center"/>
    </xf>
    <xf numFmtId="0" fontId="70" fillId="2" borderId="0" xfId="0" applyFont="1" applyFill="1" applyBorder="1" applyAlignment="1">
      <alignment horizontal="center" vertical="center" wrapText="1"/>
    </xf>
    <xf numFmtId="176" fontId="70" fillId="2" borderId="0" xfId="0" applyNumberFormat="1" applyFont="1" applyFill="1" applyBorder="1" applyAlignment="1">
      <alignment horizontal="center" vertical="center" wrapText="1"/>
    </xf>
    <xf numFmtId="0" fontId="1" fillId="2" borderId="10" xfId="0" applyFont="1" applyFill="1" applyBorder="1" applyAlignment="1">
      <alignment horizontal="left" vertical="center" wrapText="1"/>
    </xf>
    <xf numFmtId="176" fontId="1" fillId="2" borderId="10" xfId="0" applyNumberFormat="1"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11" xfId="0" applyNumberFormat="1" applyFont="1" applyFill="1" applyBorder="1" applyAlignment="1">
      <alignment horizontal="center" vertical="center"/>
    </xf>
    <xf numFmtId="176" fontId="6" fillId="2" borderId="2" xfId="0" applyNumberFormat="1" applyFont="1" applyFill="1" applyBorder="1" applyAlignment="1">
      <alignment horizontal="center" vertical="center" wrapText="1"/>
    </xf>
    <xf numFmtId="0" fontId="75" fillId="0" borderId="1" xfId="0" applyFont="1" applyFill="1" applyBorder="1" applyAlignment="1">
      <alignment horizontal="left" vertical="center"/>
    </xf>
    <xf numFmtId="0" fontId="72" fillId="0" borderId="1" xfId="0"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81" fontId="1" fillId="0" borderId="1" xfId="0" applyNumberFormat="1" applyFont="1" applyFill="1" applyBorder="1" applyAlignment="1">
      <alignment horizontal="left" vertical="center"/>
    </xf>
    <xf numFmtId="181" fontId="1" fillId="0" borderId="1" xfId="0" applyNumberFormat="1"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72" fillId="0" borderId="1" xfId="0" applyFont="1" applyFill="1" applyBorder="1" applyAlignment="1">
      <alignment horizontal="center" vertical="center"/>
    </xf>
    <xf numFmtId="0" fontId="10" fillId="0" borderId="1" xfId="0" applyFont="1" applyFill="1" applyBorder="1" applyAlignment="1">
      <alignment vertical="center"/>
    </xf>
    <xf numFmtId="0" fontId="96" fillId="0" borderId="0" xfId="0" applyFont="1" applyFill="1">
      <alignment vertical="center"/>
    </xf>
    <xf numFmtId="49" fontId="0" fillId="0" borderId="0" xfId="0" applyNumberFormat="1" applyFill="1">
      <alignment vertical="center"/>
    </xf>
    <xf numFmtId="0" fontId="97" fillId="3" borderId="0" xfId="0" applyFont="1" applyFill="1" applyBorder="1" applyAlignment="1">
      <alignment horizontal="center" vertical="center" wrapText="1"/>
    </xf>
    <xf numFmtId="0" fontId="98" fillId="3" borderId="0" xfId="0" applyFont="1" applyFill="1" applyBorder="1" applyAlignment="1">
      <alignment horizontal="left" vertical="center"/>
    </xf>
    <xf numFmtId="0" fontId="96" fillId="3" borderId="0" xfId="0" applyFont="1" applyFill="1" applyBorder="1" applyAlignment="1">
      <alignment horizontal="left" vertical="center"/>
    </xf>
    <xf numFmtId="0" fontId="98" fillId="3" borderId="1" xfId="0" applyFont="1" applyFill="1" applyBorder="1" applyAlignment="1">
      <alignment horizontal="center" vertical="center" wrapText="1"/>
    </xf>
    <xf numFmtId="49" fontId="99" fillId="3" borderId="1" xfId="0" applyNumberFormat="1" applyFont="1" applyFill="1" applyBorder="1" applyAlignment="1">
      <alignment horizontal="center" vertical="center"/>
    </xf>
    <xf numFmtId="0" fontId="98" fillId="2" borderId="1" xfId="0" applyFont="1" applyFill="1" applyBorder="1" applyAlignment="1">
      <alignment horizontal="center" vertical="center" wrapText="1"/>
    </xf>
    <xf numFmtId="0" fontId="19" fillId="0" borderId="1" xfId="0" applyFont="1" applyFill="1" applyBorder="1" applyAlignment="1">
      <alignment vertical="center"/>
    </xf>
    <xf numFmtId="49" fontId="100" fillId="0" borderId="1" xfId="0" applyNumberFormat="1" applyFont="1" applyFill="1" applyBorder="1" applyAlignment="1">
      <alignment vertical="center"/>
    </xf>
    <xf numFmtId="176" fontId="101" fillId="0" borderId="1" xfId="0" applyNumberFormat="1" applyFont="1" applyFill="1" applyBorder="1" applyAlignment="1">
      <alignment horizontal="center" vertical="center"/>
    </xf>
    <xf numFmtId="0" fontId="88" fillId="0" borderId="1" xfId="0" applyFont="1" applyFill="1" applyBorder="1" applyAlignment="1">
      <alignment horizontal="center" vertical="center"/>
    </xf>
    <xf numFmtId="49" fontId="88" fillId="0" borderId="1" xfId="0" applyNumberFormat="1" applyFont="1" applyFill="1" applyBorder="1" applyAlignment="1">
      <alignment vertical="center"/>
    </xf>
    <xf numFmtId="49" fontId="82" fillId="0" borderId="1" xfId="0" applyNumberFormat="1" applyFont="1" applyFill="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5" fillId="0" borderId="1" xfId="0" applyNumberFormat="1" applyFont="1" applyFill="1" applyBorder="1" applyAlignment="1">
      <alignment horizontal="left" vertical="center"/>
    </xf>
    <xf numFmtId="49" fontId="5" fillId="0" borderId="1" xfId="0" applyNumberFormat="1" applyFont="1" applyFill="1" applyBorder="1">
      <alignment vertical="center"/>
    </xf>
    <xf numFmtId="49" fontId="88" fillId="0" borderId="1" xfId="0" applyNumberFormat="1" applyFont="1" applyFill="1" applyBorder="1" applyAlignment="1">
      <alignment horizontal="left" vertical="center"/>
    </xf>
    <xf numFmtId="49" fontId="72" fillId="0" borderId="1" xfId="0" applyNumberFormat="1" applyFont="1" applyFill="1" applyBorder="1" applyAlignment="1">
      <alignment vertical="center"/>
    </xf>
    <xf numFmtId="0" fontId="72" fillId="0" borderId="6" xfId="0" applyFont="1" applyFill="1" applyBorder="1" applyAlignment="1">
      <alignment horizontal="center" vertical="center"/>
    </xf>
    <xf numFmtId="0" fontId="72" fillId="0" borderId="1" xfId="0" applyFont="1" applyFill="1" applyBorder="1" applyAlignment="1">
      <alignment horizontal="center" vertical="center" wrapText="1"/>
    </xf>
    <xf numFmtId="0" fontId="96" fillId="0" borderId="0" xfId="0" applyFont="1" applyFill="1" applyAlignment="1">
      <alignment horizontal="right" vertical="center"/>
    </xf>
    <xf numFmtId="49" fontId="96" fillId="0" borderId="0" xfId="0" applyNumberFormat="1" applyFont="1" applyFill="1" applyAlignment="1">
      <alignment horizontal="center" vertical="center"/>
    </xf>
    <xf numFmtId="0" fontId="96" fillId="0" borderId="0" xfId="0" applyFont="1" applyFill="1" applyAlignment="1">
      <alignment horizontal="center" vertical="center"/>
    </xf>
    <xf numFmtId="0" fontId="102" fillId="0" borderId="0" xfId="0" applyFont="1" applyFill="1">
      <alignment vertical="center"/>
    </xf>
    <xf numFmtId="176" fontId="0" fillId="0" borderId="0" xfId="0" applyNumberFormat="1" applyFill="1">
      <alignment vertical="center"/>
    </xf>
    <xf numFmtId="0" fontId="103" fillId="0" borderId="0" xfId="0" applyFont="1" applyFill="1" applyBorder="1" applyAlignment="1">
      <alignment horizontal="center" vertical="center"/>
    </xf>
    <xf numFmtId="176" fontId="103" fillId="0" borderId="0" xfId="0" applyNumberFormat="1" applyFont="1" applyFill="1" applyBorder="1" applyAlignment="1">
      <alignment horizontal="center" vertical="center"/>
    </xf>
    <xf numFmtId="0" fontId="103" fillId="0" borderId="0" xfId="0" applyFont="1" applyFill="1" applyAlignment="1">
      <alignment horizontal="center" vertical="center"/>
    </xf>
    <xf numFmtId="0" fontId="102" fillId="0" borderId="0" xfId="0" applyFont="1" applyFill="1" applyBorder="1" applyAlignment="1">
      <alignment horizontal="left" vertical="center"/>
    </xf>
    <xf numFmtId="176" fontId="102" fillId="0" borderId="0" xfId="0" applyNumberFormat="1" applyFont="1" applyFill="1" applyBorder="1" applyAlignment="1">
      <alignment horizontal="left" vertical="center"/>
    </xf>
    <xf numFmtId="0" fontId="102" fillId="0" borderId="0" xfId="0" applyFont="1" applyFill="1" applyAlignment="1">
      <alignment horizontal="left" vertical="center"/>
    </xf>
    <xf numFmtId="0" fontId="15" fillId="3" borderId="1" xfId="0" applyFont="1" applyFill="1" applyBorder="1" applyAlignment="1">
      <alignment horizontal="center" vertical="center"/>
    </xf>
    <xf numFmtId="176" fontId="15" fillId="3" borderId="1" xfId="0" applyNumberFormat="1" applyFont="1" applyFill="1" applyBorder="1" applyAlignment="1">
      <alignment horizontal="center" vertical="center"/>
    </xf>
    <xf numFmtId="0" fontId="102" fillId="0" borderId="0" xfId="0" applyFont="1" applyFill="1" applyAlignment="1">
      <alignment horizontal="center" vertical="center"/>
    </xf>
    <xf numFmtId="0" fontId="102" fillId="3" borderId="1" xfId="0" applyFont="1" applyFill="1" applyBorder="1">
      <alignment vertical="center"/>
    </xf>
    <xf numFmtId="0" fontId="102" fillId="3" borderId="1" xfId="0" applyFont="1" applyFill="1" applyBorder="1" applyAlignment="1">
      <alignment horizontal="center" vertical="center"/>
    </xf>
    <xf numFmtId="176" fontId="102" fillId="3" borderId="1" xfId="0" applyNumberFormat="1" applyFont="1" applyFill="1" applyBorder="1">
      <alignment vertical="center"/>
    </xf>
    <xf numFmtId="176" fontId="102" fillId="3" borderId="1" xfId="0" applyNumberFormat="1" applyFont="1" applyFill="1" applyBorder="1" applyAlignment="1">
      <alignment horizontal="center" vertical="center"/>
    </xf>
    <xf numFmtId="0" fontId="102" fillId="0" borderId="1" xfId="0" applyFont="1" applyFill="1" applyBorder="1">
      <alignment vertical="center"/>
    </xf>
    <xf numFmtId="0" fontId="102" fillId="0" borderId="1" xfId="0" applyFont="1" applyFill="1" applyBorder="1" applyAlignment="1">
      <alignment horizontal="center" vertical="center"/>
    </xf>
    <xf numFmtId="176" fontId="102" fillId="0" borderId="1" xfId="0" applyNumberFormat="1" applyFont="1" applyFill="1" applyBorder="1">
      <alignment vertical="center"/>
    </xf>
    <xf numFmtId="176" fontId="102" fillId="0" borderId="1" xfId="0" applyNumberFormat="1" applyFont="1" applyFill="1" applyBorder="1" applyAlignment="1">
      <alignment horizontal="center" vertical="center"/>
    </xf>
    <xf numFmtId="0" fontId="104" fillId="0" borderId="0" xfId="0" applyFont="1" applyFill="1">
      <alignment vertical="center"/>
    </xf>
    <xf numFmtId="0" fontId="102" fillId="0" borderId="4" xfId="0" applyFont="1" applyFill="1" applyBorder="1" applyAlignment="1">
      <alignment horizontal="center" vertical="center"/>
    </xf>
    <xf numFmtId="176" fontId="102" fillId="0" borderId="1" xfId="0" applyNumberFormat="1" applyFont="1" applyFill="1" applyBorder="1" applyAlignment="1">
      <alignment vertical="center" wrapText="1"/>
    </xf>
    <xf numFmtId="10" fontId="102" fillId="0" borderId="0" xfId="0" applyNumberFormat="1" applyFont="1" applyFill="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常规 2" xfId="50"/>
    <cellStyle name="常规 3" xfId="51"/>
    <cellStyle name="常规 4" xfId="52"/>
    <cellStyle name="常规 4 2" xfId="53"/>
  </cellStyles>
  <tableStyles count="0" defaultTableStyle="TableStyleMedium9" defaultPivotStyle="PivotStyleLight16"/>
  <colors>
    <mruColors>
      <color rgb="00FFFF00"/>
      <color rgb="0092D050"/>
      <color rgb="00FFC0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abSelected="1" topLeftCell="A2" workbookViewId="0">
      <selection activeCell="D18" sqref="D18"/>
    </sheetView>
  </sheetViews>
  <sheetFormatPr defaultColWidth="9" defaultRowHeight="13.5"/>
  <cols>
    <col min="1" max="1" width="48.75" style="2" customWidth="1"/>
    <col min="2" max="2" width="27.8916666666667" style="68" customWidth="1"/>
    <col min="3" max="3" width="55.5" style="779" customWidth="1"/>
    <col min="4" max="4" width="33.2166666666667" style="471" customWidth="1"/>
    <col min="5" max="6" width="38.2666666666667" style="68" hidden="1" customWidth="1"/>
    <col min="7" max="7" width="12.875" style="2" hidden="1" customWidth="1"/>
    <col min="8" max="8" width="14.125" style="2" hidden="1" customWidth="1"/>
    <col min="9" max="9" width="11.375" style="2" hidden="1" customWidth="1"/>
    <col min="10" max="10" width="9" style="2" hidden="1" customWidth="1"/>
    <col min="11" max="16384" width="9" style="2"/>
  </cols>
  <sheetData>
    <row r="1" s="2" customFormat="1" ht="35.25" customHeight="1" spans="1:6">
      <c r="A1" s="780" t="s">
        <v>0</v>
      </c>
      <c r="B1" s="780"/>
      <c r="C1" s="781"/>
      <c r="D1" s="781"/>
      <c r="E1" s="782"/>
      <c r="F1" s="782"/>
    </row>
    <row r="2" s="778" customFormat="1" ht="24.95" customHeight="1" spans="1:6">
      <c r="A2" s="783" t="s">
        <v>1</v>
      </c>
      <c r="B2" s="783"/>
      <c r="C2" s="784"/>
      <c r="D2" s="784"/>
      <c r="E2" s="785"/>
      <c r="F2" s="785"/>
    </row>
    <row r="3" s="778" customFormat="1" ht="24.95" customHeight="1" spans="1:6">
      <c r="A3" s="786" t="s">
        <v>2</v>
      </c>
      <c r="B3" s="786" t="s">
        <v>3</v>
      </c>
      <c r="C3" s="787" t="s">
        <v>4</v>
      </c>
      <c r="D3" s="787" t="s">
        <v>5</v>
      </c>
      <c r="E3" s="788"/>
      <c r="F3" s="788"/>
    </row>
    <row r="4" s="778" customFormat="1" ht="24.95" customHeight="1" spans="1:6">
      <c r="A4" s="789" t="s">
        <v>6</v>
      </c>
      <c r="B4" s="790" t="s">
        <v>7</v>
      </c>
      <c r="C4" s="791" t="s">
        <v>8</v>
      </c>
      <c r="D4" s="792" t="s">
        <v>7</v>
      </c>
      <c r="E4" s="788"/>
      <c r="F4" s="788"/>
    </row>
    <row r="5" s="778" customFormat="1" ht="24.95" customHeight="1" spans="1:6">
      <c r="A5" s="793" t="s">
        <v>9</v>
      </c>
      <c r="B5" s="794">
        <f>B6+B7</f>
        <v>1025.48</v>
      </c>
      <c r="C5" s="795" t="s">
        <v>10</v>
      </c>
      <c r="D5" s="796">
        <f>D6+D17</f>
        <v>22950.79</v>
      </c>
      <c r="E5" s="788"/>
      <c r="F5" s="788"/>
    </row>
    <row r="6" s="778" customFormat="1" ht="24.95" customHeight="1" spans="1:6">
      <c r="A6" s="793" t="s">
        <v>11</v>
      </c>
      <c r="B6" s="794">
        <v>632.92</v>
      </c>
      <c r="C6" s="795" t="s">
        <v>12</v>
      </c>
      <c r="D6" s="796">
        <f>D7+D10+D11</f>
        <v>22053.61</v>
      </c>
      <c r="E6" s="788"/>
      <c r="F6" s="788"/>
    </row>
    <row r="7" s="778" customFormat="1" ht="24.95" customHeight="1" spans="1:6">
      <c r="A7" s="793" t="s">
        <v>13</v>
      </c>
      <c r="B7" s="794">
        <v>392.56</v>
      </c>
      <c r="C7" s="795" t="s">
        <v>14</v>
      </c>
      <c r="D7" s="796">
        <v>9479.5</v>
      </c>
      <c r="E7" s="788">
        <f>932.13+20.9664+7.66</f>
        <v>960.7564</v>
      </c>
      <c r="F7" s="788"/>
    </row>
    <row r="8" s="778" customFormat="1" ht="24.95" customHeight="1" spans="1:6">
      <c r="A8" s="793" t="s">
        <v>15</v>
      </c>
      <c r="B8" s="794">
        <v>300</v>
      </c>
      <c r="C8" s="795" t="s">
        <v>16</v>
      </c>
      <c r="D8" s="796">
        <f>D7-D9</f>
        <v>7159.5</v>
      </c>
      <c r="E8" s="788">
        <f>397.11+250+20.9664+7.66</f>
        <v>675.7364</v>
      </c>
      <c r="F8" s="788"/>
    </row>
    <row r="9" s="778" customFormat="1" ht="24.95" customHeight="1" spans="1:6">
      <c r="A9" s="793" t="s">
        <v>17</v>
      </c>
      <c r="B9" s="794">
        <f>B10+B11+B12</f>
        <v>1985.51</v>
      </c>
      <c r="C9" s="795" t="s">
        <v>18</v>
      </c>
      <c r="D9" s="796">
        <f>2320</f>
        <v>2320</v>
      </c>
      <c r="E9" s="788">
        <f>108+139.75+37.27</f>
        <v>285.02</v>
      </c>
      <c r="F9" s="788"/>
    </row>
    <row r="10" s="778" customFormat="1" ht="24.95" customHeight="1" spans="1:6">
      <c r="A10" s="793" t="s">
        <v>19</v>
      </c>
      <c r="B10" s="794">
        <f>(96000*85)/10000+17000*85/10000</f>
        <v>960.5</v>
      </c>
      <c r="C10" s="795" t="s">
        <v>20</v>
      </c>
      <c r="D10" s="796">
        <f>10241.82-1531.32+36.62</f>
        <v>8747.12</v>
      </c>
      <c r="E10" s="788"/>
      <c r="F10" s="788"/>
    </row>
    <row r="11" s="778" customFormat="1" ht="24.95" customHeight="1" spans="1:6">
      <c r="A11" s="793" t="s">
        <v>21</v>
      </c>
      <c r="B11" s="794">
        <f>(96000*30)/10000+17000*35/1000</f>
        <v>883</v>
      </c>
      <c r="C11" s="795" t="s">
        <v>22</v>
      </c>
      <c r="D11" s="796">
        <v>3826.99</v>
      </c>
      <c r="E11" s="788"/>
      <c r="F11" s="788"/>
    </row>
    <row r="12" s="778" customFormat="1" ht="24.95" customHeight="1" spans="1:9">
      <c r="A12" s="793" t="s">
        <v>23</v>
      </c>
      <c r="B12" s="794">
        <v>142.01</v>
      </c>
      <c r="C12" s="795" t="s">
        <v>24</v>
      </c>
      <c r="D12" s="796">
        <v>845</v>
      </c>
      <c r="E12" s="788"/>
      <c r="F12" s="788"/>
      <c r="G12" s="778" t="s">
        <v>25</v>
      </c>
      <c r="H12" s="797">
        <v>4580.88</v>
      </c>
      <c r="I12" s="800">
        <v>0.7889</v>
      </c>
    </row>
    <row r="13" s="778" customFormat="1" ht="24.95" customHeight="1" spans="1:8">
      <c r="A13" s="793" t="s">
        <v>26</v>
      </c>
      <c r="B13" s="794">
        <f>B14+B15+B22+B23</f>
        <v>22943.13</v>
      </c>
      <c r="C13" s="795" t="s">
        <v>27</v>
      </c>
      <c r="D13" s="796">
        <v>786.31</v>
      </c>
      <c r="E13" s="788"/>
      <c r="F13" s="788"/>
      <c r="G13" s="778" t="s">
        <v>28</v>
      </c>
      <c r="H13" s="797">
        <v>1113</v>
      </c>
    </row>
    <row r="14" s="778" customFormat="1" ht="24.95" customHeight="1" spans="1:8">
      <c r="A14" s="793" t="s">
        <v>29</v>
      </c>
      <c r="B14" s="798">
        <f>11310.52-1075.63</f>
        <v>10234.89</v>
      </c>
      <c r="C14" s="795" t="s">
        <v>30</v>
      </c>
      <c r="D14" s="796">
        <v>55</v>
      </c>
      <c r="E14" s="788"/>
      <c r="F14" s="788"/>
      <c r="G14" s="778" t="s">
        <v>31</v>
      </c>
      <c r="H14" s="797">
        <v>1066.1</v>
      </c>
    </row>
    <row r="15" s="778" customFormat="1" ht="24.95" customHeight="1" spans="1:8">
      <c r="A15" s="793" t="s">
        <v>32</v>
      </c>
      <c r="B15" s="788">
        <v>7919.48</v>
      </c>
      <c r="C15" s="795" t="s">
        <v>33</v>
      </c>
      <c r="D15" s="796">
        <v>16.8</v>
      </c>
      <c r="E15" s="788"/>
      <c r="F15" s="788"/>
      <c r="G15" s="778" t="s">
        <v>34</v>
      </c>
      <c r="H15" s="797">
        <v>6759.98</v>
      </c>
    </row>
    <row r="16" s="778" customFormat="1" ht="24.95" customHeight="1" spans="1:9">
      <c r="A16" s="793" t="s">
        <v>35</v>
      </c>
      <c r="B16" s="794">
        <v>7725.23</v>
      </c>
      <c r="C16" s="795" t="s">
        <v>36</v>
      </c>
      <c r="D16" s="796">
        <v>82.3</v>
      </c>
      <c r="E16" s="788"/>
      <c r="F16" s="788"/>
      <c r="I16" s="778">
        <v>6719.23</v>
      </c>
    </row>
    <row r="17" s="778" customFormat="1" ht="24.95" customHeight="1" spans="1:9">
      <c r="A17" s="793" t="s">
        <v>37</v>
      </c>
      <c r="B17" s="794">
        <v>3329.14</v>
      </c>
      <c r="C17" s="795" t="s">
        <v>38</v>
      </c>
      <c r="D17" s="796">
        <f>D18+D19+D20</f>
        <v>897.18</v>
      </c>
      <c r="E17" s="788"/>
      <c r="F17" s="788"/>
      <c r="I17" s="778">
        <v>3530.15</v>
      </c>
    </row>
    <row r="18" s="778" customFormat="1" ht="24.95" customHeight="1" spans="1:9">
      <c r="A18" s="793" t="s">
        <v>39</v>
      </c>
      <c r="B18" s="794">
        <v>2100</v>
      </c>
      <c r="C18" s="795" t="s">
        <v>40</v>
      </c>
      <c r="D18" s="796">
        <v>540.78</v>
      </c>
      <c r="E18" s="788"/>
      <c r="F18" s="788"/>
      <c r="I18" s="778">
        <v>1066.1</v>
      </c>
    </row>
    <row r="19" s="778" customFormat="1" ht="24.95" customHeight="1" spans="1:9">
      <c r="A19" s="793" t="s">
        <v>41</v>
      </c>
      <c r="B19" s="794">
        <f>B20+B21</f>
        <v>5000</v>
      </c>
      <c r="C19" s="795" t="s">
        <v>42</v>
      </c>
      <c r="D19" s="796">
        <f>96000*85*0.4/10000</f>
        <v>326.4</v>
      </c>
      <c r="E19" s="788"/>
      <c r="F19" s="788"/>
      <c r="I19" s="778">
        <v>5972.21</v>
      </c>
    </row>
    <row r="20" s="778" customFormat="1" ht="24.95" customHeight="1" spans="1:9">
      <c r="A20" s="793" t="s">
        <v>43</v>
      </c>
      <c r="B20" s="794">
        <v>4200</v>
      </c>
      <c r="C20" s="795" t="s">
        <v>44</v>
      </c>
      <c r="D20" s="796">
        <v>30</v>
      </c>
      <c r="E20" s="788"/>
      <c r="F20" s="788"/>
      <c r="I20" s="778">
        <v>4580.88</v>
      </c>
    </row>
    <row r="21" s="778" customFormat="1" ht="24.95" customHeight="1" spans="1:9">
      <c r="A21" s="793" t="s">
        <v>45</v>
      </c>
      <c r="B21" s="794">
        <v>800</v>
      </c>
      <c r="C21" s="799" t="s">
        <v>46</v>
      </c>
      <c r="D21" s="796">
        <v>50</v>
      </c>
      <c r="E21" s="788"/>
      <c r="F21" s="788"/>
      <c r="I21" s="778">
        <v>1391.33</v>
      </c>
    </row>
    <row r="22" s="778" customFormat="1" ht="24.95" customHeight="1" spans="1:6">
      <c r="A22" s="793" t="s">
        <v>47</v>
      </c>
      <c r="B22" s="794">
        <v>3713.13</v>
      </c>
      <c r="C22" s="799" t="s">
        <v>48</v>
      </c>
      <c r="D22" s="796">
        <f>625+249.39</f>
        <v>874.39</v>
      </c>
      <c r="E22" s="788"/>
      <c r="F22" s="788"/>
    </row>
    <row r="23" s="778" customFormat="1" ht="24.95" customHeight="1" spans="1:6">
      <c r="A23" s="793" t="s">
        <v>49</v>
      </c>
      <c r="B23" s="794">
        <f>667.9+407.73</f>
        <v>1075.63</v>
      </c>
      <c r="C23" s="799" t="s">
        <v>50</v>
      </c>
      <c r="D23" s="796">
        <v>2078.94</v>
      </c>
      <c r="E23" s="788"/>
      <c r="F23" s="788"/>
    </row>
    <row r="24" s="778" customFormat="1" ht="39" customHeight="1" spans="1:6">
      <c r="A24" s="786" t="s">
        <v>51</v>
      </c>
      <c r="B24" s="786">
        <f>B5+B9+B13</f>
        <v>25954.12</v>
      </c>
      <c r="C24" s="787" t="s">
        <v>52</v>
      </c>
      <c r="D24" s="787">
        <f>D5+D21+D22+D23</f>
        <v>25954.12</v>
      </c>
      <c r="E24" s="788"/>
      <c r="F24" s="788"/>
    </row>
    <row r="25" ht="6" customHeight="1"/>
    <row r="26" hidden="1"/>
    <row r="27" s="2" customFormat="1" spans="2:6">
      <c r="B27" s="68"/>
      <c r="C27" s="779"/>
      <c r="D27" s="471"/>
      <c r="E27" s="68"/>
      <c r="F27" s="68"/>
    </row>
    <row r="28" spans="4:4">
      <c r="D28" s="471">
        <f>D24-B24</f>
        <v>0</v>
      </c>
    </row>
  </sheetData>
  <mergeCells count="2">
    <mergeCell ref="A1:D1"/>
    <mergeCell ref="A2:D2"/>
  </mergeCells>
  <pageMargins left="0.75" right="0.236111111111111" top="0.472222222222222" bottom="0.0784722222222222" header="0.5" footer="0.196527777777778"/>
  <pageSetup paperSize="9" scale="85" orientation="landscape"/>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O8" sqref="O8"/>
    </sheetView>
  </sheetViews>
  <sheetFormatPr defaultColWidth="9" defaultRowHeight="13.5" outlineLevelCol="4"/>
  <cols>
    <col min="1" max="1" width="9" style="2"/>
    <col min="2" max="2" width="13.125" style="2" customWidth="1"/>
    <col min="3" max="3" width="23.75" style="2" customWidth="1"/>
    <col min="4" max="4" width="18.5" style="471" customWidth="1"/>
    <col min="5" max="5" width="51" style="2" customWidth="1"/>
    <col min="6" max="16384" width="9" style="2"/>
  </cols>
  <sheetData>
    <row r="1" ht="63" customHeight="1" spans="1:5">
      <c r="A1" s="490" t="s">
        <v>440</v>
      </c>
      <c r="B1" s="490"/>
      <c r="C1" s="490"/>
      <c r="D1" s="491"/>
      <c r="E1" s="490"/>
    </row>
    <row r="2" ht="30.75" customHeight="1" spans="1:5">
      <c r="A2" s="492" t="s">
        <v>81</v>
      </c>
      <c r="B2" s="74" t="s">
        <v>82</v>
      </c>
      <c r="C2" s="75"/>
      <c r="D2" s="493" t="s">
        <v>57</v>
      </c>
      <c r="E2" s="494" t="s">
        <v>441</v>
      </c>
    </row>
    <row r="3" ht="26" customHeight="1" spans="1:5">
      <c r="A3" s="495"/>
      <c r="B3" s="496" t="s">
        <v>56</v>
      </c>
      <c r="C3" s="497"/>
      <c r="D3" s="498"/>
      <c r="E3" s="499"/>
    </row>
    <row r="4" s="2" customFormat="1" ht="48.95" hidden="1" customHeight="1" spans="1:5">
      <c r="A4" s="500" t="s">
        <v>133</v>
      </c>
      <c r="B4" s="501" t="s">
        <v>442</v>
      </c>
      <c r="C4" s="502"/>
      <c r="D4" s="503">
        <v>0</v>
      </c>
      <c r="E4" s="503" t="s">
        <v>443</v>
      </c>
    </row>
    <row r="5" s="2" customFormat="1" ht="39.95" hidden="1" customHeight="1" spans="1:5">
      <c r="A5" s="500" t="s">
        <v>133</v>
      </c>
      <c r="B5" s="501" t="s">
        <v>444</v>
      </c>
      <c r="C5" s="502"/>
      <c r="D5" s="503">
        <v>0</v>
      </c>
      <c r="E5" s="503" t="s">
        <v>445</v>
      </c>
    </row>
    <row r="6" s="2" customFormat="1" ht="39.95" customHeight="1" spans="1:5">
      <c r="A6" s="500" t="s">
        <v>133</v>
      </c>
      <c r="B6" s="64" t="s">
        <v>446</v>
      </c>
      <c r="C6" s="64" t="s">
        <v>446</v>
      </c>
      <c r="D6" s="503">
        <v>6.336</v>
      </c>
      <c r="E6" s="503" t="s">
        <v>447</v>
      </c>
    </row>
    <row r="7" s="2" customFormat="1" ht="39.95" customHeight="1" spans="1:5">
      <c r="A7" s="504"/>
      <c r="B7" s="64" t="s">
        <v>448</v>
      </c>
      <c r="C7" s="64" t="s">
        <v>448</v>
      </c>
      <c r="D7" s="505">
        <v>2.16</v>
      </c>
      <c r="E7" s="503" t="s">
        <v>449</v>
      </c>
    </row>
    <row r="8" s="2" customFormat="1" ht="39.95" customHeight="1" spans="1:5">
      <c r="A8" s="504"/>
      <c r="B8" s="503" t="s">
        <v>450</v>
      </c>
      <c r="C8" s="503" t="s">
        <v>450</v>
      </c>
      <c r="D8" s="505">
        <v>86.4</v>
      </c>
      <c r="E8" s="503" t="s">
        <v>451</v>
      </c>
    </row>
    <row r="9" s="2" customFormat="1" ht="39.95" customHeight="1" spans="1:5">
      <c r="A9" s="504"/>
      <c r="B9" s="503" t="s">
        <v>452</v>
      </c>
      <c r="C9" s="503" t="s">
        <v>452</v>
      </c>
      <c r="D9" s="505">
        <v>2</v>
      </c>
      <c r="E9" s="503" t="s">
        <v>453</v>
      </c>
    </row>
    <row r="10" s="2" customFormat="1" ht="39.95" customHeight="1" spans="1:5">
      <c r="A10" s="504"/>
      <c r="B10" s="64" t="s">
        <v>454</v>
      </c>
      <c r="C10" s="64" t="s">
        <v>454</v>
      </c>
      <c r="D10" s="505">
        <v>1</v>
      </c>
      <c r="E10" s="503" t="s">
        <v>453</v>
      </c>
    </row>
    <row r="11" s="2" customFormat="1" ht="35" customHeight="1" spans="1:5">
      <c r="A11" s="506" t="s">
        <v>34</v>
      </c>
      <c r="B11" s="507"/>
      <c r="C11" s="508"/>
      <c r="D11" s="506">
        <f>SUM(D4:D10)</f>
        <v>97.896</v>
      </c>
      <c r="E11" s="509"/>
    </row>
    <row r="12" ht="32" hidden="1" customHeight="1" spans="3:5">
      <c r="C12" s="44" t="s">
        <v>76</v>
      </c>
      <c r="D12" s="471" t="s">
        <v>77</v>
      </c>
      <c r="E12" s="68" t="s">
        <v>78</v>
      </c>
    </row>
    <row r="14" spans="2:5">
      <c r="B14" s="2" t="s">
        <v>76</v>
      </c>
      <c r="C14" s="2" t="s">
        <v>77</v>
      </c>
      <c r="E14" s="2" t="s">
        <v>140</v>
      </c>
    </row>
  </sheetData>
  <mergeCells count="10">
    <mergeCell ref="A1:E1"/>
    <mergeCell ref="B2:C2"/>
    <mergeCell ref="B3:C3"/>
    <mergeCell ref="B4:C4"/>
    <mergeCell ref="B5:C5"/>
    <mergeCell ref="B11:C11"/>
    <mergeCell ref="A2:A3"/>
    <mergeCell ref="A6:A10"/>
    <mergeCell ref="D2:D3"/>
    <mergeCell ref="E2:E3"/>
  </mergeCells>
  <pageMargins left="1.37777777777778" right="0.314583333333333" top="0.747916666666667" bottom="0.550694444444444" header="0.314583333333333" footer="0.31458333333333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E1" sqref="E$1:G$1048576"/>
    </sheetView>
  </sheetViews>
  <sheetFormatPr defaultColWidth="9" defaultRowHeight="13.5" outlineLevelCol="3"/>
  <cols>
    <col min="1" max="1" width="9.625" style="2" customWidth="1"/>
    <col min="2" max="2" width="33.125" style="2" customWidth="1"/>
    <col min="3" max="3" width="13.75" style="471" customWidth="1"/>
    <col min="4" max="4" width="58.5" style="2" customWidth="1"/>
    <col min="5" max="16384" width="9" style="2"/>
  </cols>
  <sheetData>
    <row r="1" s="2" customFormat="1" ht="44.25" customHeight="1" spans="1:4">
      <c r="A1" s="472" t="s">
        <v>455</v>
      </c>
      <c r="B1" s="472"/>
      <c r="C1" s="473"/>
      <c r="D1" s="472"/>
    </row>
    <row r="2" s="2" customFormat="1" ht="31" customHeight="1" spans="1:4">
      <c r="A2" s="474" t="s">
        <v>81</v>
      </c>
      <c r="B2" s="475"/>
      <c r="C2" s="476" t="s">
        <v>57</v>
      </c>
      <c r="D2" s="477" t="s">
        <v>441</v>
      </c>
    </row>
    <row r="3" s="2" customFormat="1" ht="29" customHeight="1" spans="1:4">
      <c r="A3" s="478"/>
      <c r="B3" s="479" t="s">
        <v>56</v>
      </c>
      <c r="C3" s="480"/>
      <c r="D3" s="481"/>
    </row>
    <row r="4" s="2" customFormat="1" ht="36" customHeight="1" spans="1:4">
      <c r="A4" s="442"/>
      <c r="B4" s="442" t="s">
        <v>456</v>
      </c>
      <c r="C4" s="482">
        <f>SUM(C5:C8)</f>
        <v>82.3</v>
      </c>
      <c r="D4" s="483"/>
    </row>
    <row r="5" s="2" customFormat="1" ht="44" customHeight="1" spans="1:4">
      <c r="A5" s="442" t="s">
        <v>359</v>
      </c>
      <c r="B5" s="83" t="s">
        <v>457</v>
      </c>
      <c r="C5" s="449">
        <v>10.8</v>
      </c>
      <c r="D5" s="415" t="s">
        <v>458</v>
      </c>
    </row>
    <row r="6" s="2" customFormat="1" ht="65" customHeight="1" spans="1:4">
      <c r="A6" s="442" t="s">
        <v>211</v>
      </c>
      <c r="B6" s="484" t="s">
        <v>459</v>
      </c>
      <c r="C6" s="449">
        <v>60</v>
      </c>
      <c r="D6" s="428" t="s">
        <v>460</v>
      </c>
    </row>
    <row r="7" s="2" customFormat="1" ht="46" customHeight="1" spans="1:4">
      <c r="A7" s="442" t="s">
        <v>232</v>
      </c>
      <c r="B7" s="484" t="s">
        <v>461</v>
      </c>
      <c r="C7" s="449">
        <v>10.5</v>
      </c>
      <c r="D7" s="465" t="s">
        <v>462</v>
      </c>
    </row>
    <row r="8" s="2" customFormat="1" ht="55" customHeight="1" spans="1:4">
      <c r="A8" s="485" t="s">
        <v>204</v>
      </c>
      <c r="B8" s="486" t="s">
        <v>463</v>
      </c>
      <c r="C8" s="487">
        <v>1</v>
      </c>
      <c r="D8" s="486" t="s">
        <v>464</v>
      </c>
    </row>
    <row r="9" ht="13" hidden="1" customHeight="1" spans="2:4">
      <c r="B9" s="44" t="s">
        <v>76</v>
      </c>
      <c r="C9" s="5" t="s">
        <v>77</v>
      </c>
      <c r="D9" s="488" t="s">
        <v>78</v>
      </c>
    </row>
    <row r="11" ht="18.75" spans="2:4">
      <c r="B11" s="451" t="s">
        <v>76</v>
      </c>
      <c r="C11" s="51" t="s">
        <v>77</v>
      </c>
      <c r="D11" s="489" t="s">
        <v>140</v>
      </c>
    </row>
  </sheetData>
  <mergeCells count="4">
    <mergeCell ref="A1:D1"/>
    <mergeCell ref="A2:A3"/>
    <mergeCell ref="C2:C3"/>
    <mergeCell ref="D2:D3"/>
  </mergeCells>
  <pageMargins left="0.944444444444444" right="0.118110236220472" top="0.44" bottom="0.551181102362205" header="0.31496062992126" footer="0.31496062992126"/>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5"/>
  <sheetViews>
    <sheetView workbookViewId="0">
      <selection activeCell="G2" sqref="G$1:H$1048576"/>
    </sheetView>
  </sheetViews>
  <sheetFormatPr defaultColWidth="10.625" defaultRowHeight="13.5"/>
  <cols>
    <col min="1" max="1" width="9.75" style="384" customWidth="1"/>
    <col min="2" max="2" width="15.0333333333333" style="388" customWidth="1"/>
    <col min="3" max="3" width="30.125" style="389" customWidth="1"/>
    <col min="4" max="4" width="8.25" style="390" customWidth="1"/>
    <col min="5" max="5" width="9.20833333333333" style="390" customWidth="1"/>
    <col min="6" max="6" width="17.375" style="390" customWidth="1"/>
    <col min="7" max="7" width="9.75" style="384" customWidth="1"/>
    <col min="8" max="10" width="10.625" style="384" customWidth="1"/>
    <col min="11" max="11" width="20.25" style="384" customWidth="1"/>
    <col min="12" max="16" width="10.625" style="384" customWidth="1"/>
    <col min="17" max="17" width="10.625" style="384"/>
    <col min="18" max="18" width="6.375" style="384" customWidth="1"/>
    <col min="19" max="21" width="10.625" style="384" hidden="1" customWidth="1"/>
    <col min="22" max="16384" width="10.625" style="384"/>
  </cols>
  <sheetData>
    <row r="1" s="384" customFormat="1" ht="31.5" customHeight="1" spans="1:6">
      <c r="A1" s="391" t="s">
        <v>465</v>
      </c>
      <c r="B1" s="392"/>
      <c r="C1" s="393"/>
      <c r="D1" s="391"/>
      <c r="E1" s="391"/>
      <c r="F1" s="391"/>
    </row>
    <row r="2" s="384" customFormat="1" ht="30" customHeight="1" spans="1:6">
      <c r="A2" s="394" t="s">
        <v>54</v>
      </c>
      <c r="B2" s="395"/>
      <c r="C2" s="396"/>
      <c r="D2" s="397"/>
      <c r="E2" s="397"/>
      <c r="F2" s="397"/>
    </row>
    <row r="3" s="384" customFormat="1" ht="31.5" customHeight="1" spans="1:6">
      <c r="A3" s="398" t="s">
        <v>344</v>
      </c>
      <c r="B3" s="398" t="s">
        <v>466</v>
      </c>
      <c r="C3" s="398" t="s">
        <v>346</v>
      </c>
      <c r="D3" s="398" t="s">
        <v>347</v>
      </c>
      <c r="E3" s="399" t="s">
        <v>279</v>
      </c>
      <c r="F3" s="400" t="s">
        <v>57</v>
      </c>
    </row>
    <row r="4" s="384" customFormat="1" ht="9" customHeight="1" spans="1:6">
      <c r="A4" s="398"/>
      <c r="B4" s="398"/>
      <c r="C4" s="398"/>
      <c r="D4" s="398"/>
      <c r="E4" s="399"/>
      <c r="F4" s="401"/>
    </row>
    <row r="5" s="385" customFormat="1" ht="32.1" customHeight="1" spans="1:21">
      <c r="A5" s="402"/>
      <c r="B5" s="403" t="s">
        <v>34</v>
      </c>
      <c r="C5" s="403"/>
      <c r="D5" s="404"/>
      <c r="E5" s="405">
        <f>E6+E86</f>
        <v>185</v>
      </c>
      <c r="F5" s="406">
        <f>F6+F86</f>
        <v>540.7842</v>
      </c>
      <c r="T5" s="385">
        <v>238</v>
      </c>
      <c r="U5" s="385">
        <v>1266.7192</v>
      </c>
    </row>
    <row r="6" s="386" customFormat="1" ht="29" customHeight="1" spans="1:21">
      <c r="A6" s="407" t="s">
        <v>467</v>
      </c>
      <c r="B6" s="408" t="s">
        <v>468</v>
      </c>
      <c r="C6" s="408" t="s">
        <v>469</v>
      </c>
      <c r="D6" s="409"/>
      <c r="E6" s="410">
        <f>E7+E67+E80+E82</f>
        <v>177</v>
      </c>
      <c r="F6" s="409">
        <f>F7+F67+F80+F82</f>
        <v>335.691</v>
      </c>
      <c r="T6" s="386">
        <v>230</v>
      </c>
      <c r="U6" s="386">
        <v>991.326</v>
      </c>
    </row>
    <row r="7" s="384" customFormat="1" ht="22" customHeight="1" spans="1:21">
      <c r="A7" s="411" t="s">
        <v>145</v>
      </c>
      <c r="B7" s="412" t="s">
        <v>470</v>
      </c>
      <c r="C7" s="412"/>
      <c r="D7" s="410"/>
      <c r="E7" s="410">
        <f>SUM(E8:E66)</f>
        <v>145</v>
      </c>
      <c r="F7" s="409">
        <f>SUM(F8:F66)</f>
        <v>330.651</v>
      </c>
      <c r="G7" s="413"/>
      <c r="T7" s="384">
        <v>145</v>
      </c>
      <c r="U7" s="384">
        <v>782.651</v>
      </c>
    </row>
    <row r="8" s="384" customFormat="1" ht="22" hidden="1" customHeight="1" spans="1:21">
      <c r="A8" s="414"/>
      <c r="B8" s="415" t="s">
        <v>352</v>
      </c>
      <c r="C8" s="415" t="s">
        <v>471</v>
      </c>
      <c r="D8" s="416">
        <v>0</v>
      </c>
      <c r="E8" s="416">
        <v>1</v>
      </c>
      <c r="F8" s="407">
        <f>D8*E8</f>
        <v>0</v>
      </c>
      <c r="G8" s="413"/>
      <c r="S8" s="384">
        <v>200</v>
      </c>
      <c r="T8" s="384">
        <v>1</v>
      </c>
      <c r="U8" s="384">
        <v>200</v>
      </c>
    </row>
    <row r="9" s="384" customFormat="1" ht="17" customHeight="1" spans="1:21">
      <c r="A9" s="414"/>
      <c r="B9" s="415" t="s">
        <v>244</v>
      </c>
      <c r="C9" s="415" t="s">
        <v>472</v>
      </c>
      <c r="D9" s="416">
        <v>3</v>
      </c>
      <c r="E9" s="416">
        <v>1</v>
      </c>
      <c r="F9" s="407">
        <f t="shared" ref="F9:F40" si="0">D9*E9</f>
        <v>3</v>
      </c>
      <c r="G9" s="413"/>
      <c r="S9" s="384">
        <v>3</v>
      </c>
      <c r="T9" s="384">
        <v>1</v>
      </c>
      <c r="U9" s="384">
        <v>3</v>
      </c>
    </row>
    <row r="10" s="384" customFormat="1" ht="22" hidden="1" customHeight="1" spans="1:21">
      <c r="A10" s="414"/>
      <c r="B10" s="415" t="s">
        <v>244</v>
      </c>
      <c r="C10" s="415" t="s">
        <v>473</v>
      </c>
      <c r="D10" s="416">
        <v>0</v>
      </c>
      <c r="E10" s="416">
        <v>1</v>
      </c>
      <c r="F10" s="407">
        <f t="shared" si="0"/>
        <v>0</v>
      </c>
      <c r="G10" s="413"/>
      <c r="S10" s="384">
        <v>20</v>
      </c>
      <c r="T10" s="384">
        <v>1</v>
      </c>
      <c r="U10" s="384">
        <v>20</v>
      </c>
    </row>
    <row r="11" s="384" customFormat="1" ht="22" hidden="1" customHeight="1" spans="1:21">
      <c r="A11" s="414"/>
      <c r="B11" s="415" t="s">
        <v>244</v>
      </c>
      <c r="C11" s="415" t="s">
        <v>474</v>
      </c>
      <c r="D11" s="416">
        <v>0</v>
      </c>
      <c r="E11" s="416">
        <v>1</v>
      </c>
      <c r="F11" s="407">
        <f t="shared" si="0"/>
        <v>0</v>
      </c>
      <c r="G11" s="413"/>
      <c r="S11" s="384">
        <v>8</v>
      </c>
      <c r="T11" s="384">
        <v>1</v>
      </c>
      <c r="U11" s="384">
        <v>8</v>
      </c>
    </row>
    <row r="12" s="384" customFormat="1" ht="22" hidden="1" customHeight="1" spans="1:21">
      <c r="A12" s="414"/>
      <c r="B12" s="415" t="s">
        <v>244</v>
      </c>
      <c r="C12" s="415" t="s">
        <v>475</v>
      </c>
      <c r="D12" s="416">
        <v>0</v>
      </c>
      <c r="E12" s="416">
        <v>1</v>
      </c>
      <c r="F12" s="407">
        <f t="shared" si="0"/>
        <v>0</v>
      </c>
      <c r="G12" s="413"/>
      <c r="S12" s="384">
        <v>10</v>
      </c>
      <c r="T12" s="384">
        <v>1</v>
      </c>
      <c r="U12" s="384">
        <v>10</v>
      </c>
    </row>
    <row r="13" s="384" customFormat="1" ht="22" hidden="1" customHeight="1" spans="1:21">
      <c r="A13" s="414"/>
      <c r="B13" s="415" t="s">
        <v>244</v>
      </c>
      <c r="C13" s="415" t="s">
        <v>476</v>
      </c>
      <c r="D13" s="416">
        <v>0</v>
      </c>
      <c r="E13" s="416">
        <v>1</v>
      </c>
      <c r="F13" s="407">
        <f t="shared" si="0"/>
        <v>0</v>
      </c>
      <c r="G13" s="413"/>
      <c r="S13" s="384">
        <v>20</v>
      </c>
      <c r="T13" s="384">
        <v>1</v>
      </c>
      <c r="U13" s="384">
        <v>20</v>
      </c>
    </row>
    <row r="14" s="384" customFormat="1" ht="22" hidden="1" customHeight="1" spans="1:21">
      <c r="A14" s="414"/>
      <c r="B14" s="415" t="s">
        <v>244</v>
      </c>
      <c r="C14" s="415" t="s">
        <v>477</v>
      </c>
      <c r="D14" s="416">
        <v>0</v>
      </c>
      <c r="E14" s="416">
        <v>1</v>
      </c>
      <c r="F14" s="407">
        <f t="shared" si="0"/>
        <v>0</v>
      </c>
      <c r="G14" s="413"/>
      <c r="S14" s="384">
        <v>50</v>
      </c>
      <c r="T14" s="384">
        <v>1</v>
      </c>
      <c r="U14" s="384">
        <v>50</v>
      </c>
    </row>
    <row r="15" s="384" customFormat="1" ht="22" customHeight="1" spans="1:21">
      <c r="A15" s="414"/>
      <c r="B15" s="415" t="s">
        <v>354</v>
      </c>
      <c r="C15" s="415" t="s">
        <v>478</v>
      </c>
      <c r="D15" s="416">
        <v>5</v>
      </c>
      <c r="E15" s="416">
        <v>1</v>
      </c>
      <c r="F15" s="407">
        <f t="shared" si="0"/>
        <v>5</v>
      </c>
      <c r="G15" s="413"/>
      <c r="S15" s="384">
        <v>5</v>
      </c>
      <c r="T15" s="384">
        <v>1</v>
      </c>
      <c r="U15" s="384">
        <v>5</v>
      </c>
    </row>
    <row r="16" s="384" customFormat="1" ht="22" customHeight="1" spans="1:21">
      <c r="A16" s="414"/>
      <c r="B16" s="415" t="s">
        <v>479</v>
      </c>
      <c r="C16" s="415" t="s">
        <v>480</v>
      </c>
      <c r="D16" s="416">
        <v>2</v>
      </c>
      <c r="E16" s="416">
        <v>2</v>
      </c>
      <c r="F16" s="407">
        <f t="shared" si="0"/>
        <v>4</v>
      </c>
      <c r="G16" s="413"/>
      <c r="S16" s="384">
        <v>2</v>
      </c>
      <c r="T16" s="384">
        <v>2</v>
      </c>
      <c r="U16" s="384">
        <v>4</v>
      </c>
    </row>
    <row r="17" s="384" customFormat="1" ht="22" customHeight="1" spans="1:21">
      <c r="A17" s="414"/>
      <c r="B17" s="415" t="s">
        <v>479</v>
      </c>
      <c r="C17" s="415" t="s">
        <v>481</v>
      </c>
      <c r="D17" s="416">
        <v>0.4</v>
      </c>
      <c r="E17" s="416">
        <v>2</v>
      </c>
      <c r="F17" s="407">
        <f t="shared" si="0"/>
        <v>0.8</v>
      </c>
      <c r="G17" s="413"/>
      <c r="S17" s="384">
        <v>0.4</v>
      </c>
      <c r="T17" s="384">
        <v>2</v>
      </c>
      <c r="U17" s="384">
        <v>0.8</v>
      </c>
    </row>
    <row r="18" s="384" customFormat="1" ht="22" customHeight="1" spans="1:21">
      <c r="A18" s="414"/>
      <c r="B18" s="415" t="s">
        <v>479</v>
      </c>
      <c r="C18" s="415" t="s">
        <v>482</v>
      </c>
      <c r="D18" s="416">
        <v>0.4</v>
      </c>
      <c r="E18" s="416">
        <v>2</v>
      </c>
      <c r="F18" s="407">
        <f t="shared" si="0"/>
        <v>0.8</v>
      </c>
      <c r="G18" s="413"/>
      <c r="S18" s="384">
        <v>0.4</v>
      </c>
      <c r="T18" s="384">
        <v>2</v>
      </c>
      <c r="U18" s="384">
        <v>0.8</v>
      </c>
    </row>
    <row r="19" s="384" customFormat="1" ht="22" customHeight="1" spans="1:21">
      <c r="A19" s="414"/>
      <c r="B19" s="415" t="s">
        <v>479</v>
      </c>
      <c r="C19" s="415" t="s">
        <v>483</v>
      </c>
      <c r="D19" s="416">
        <v>0.04</v>
      </c>
      <c r="E19" s="416">
        <v>5</v>
      </c>
      <c r="F19" s="407">
        <f t="shared" si="0"/>
        <v>0.2</v>
      </c>
      <c r="G19" s="413"/>
      <c r="S19" s="384">
        <v>0.04</v>
      </c>
      <c r="T19" s="384">
        <v>5</v>
      </c>
      <c r="U19" s="384">
        <v>0.2</v>
      </c>
    </row>
    <row r="20" s="384" customFormat="1" ht="22" customHeight="1" spans="1:21">
      <c r="A20" s="414"/>
      <c r="B20" s="415" t="s">
        <v>479</v>
      </c>
      <c r="C20" s="415" t="s">
        <v>484</v>
      </c>
      <c r="D20" s="416">
        <v>0.16</v>
      </c>
      <c r="E20" s="416">
        <v>3</v>
      </c>
      <c r="F20" s="407">
        <f t="shared" si="0"/>
        <v>0.48</v>
      </c>
      <c r="G20" s="413"/>
      <c r="S20" s="384">
        <v>0.16</v>
      </c>
      <c r="T20" s="384">
        <v>3</v>
      </c>
      <c r="U20" s="384">
        <v>0.48</v>
      </c>
    </row>
    <row r="21" s="384" customFormat="1" ht="22" customHeight="1" spans="1:21">
      <c r="A21" s="414"/>
      <c r="B21" s="415" t="s">
        <v>479</v>
      </c>
      <c r="C21" s="415" t="s">
        <v>485</v>
      </c>
      <c r="D21" s="416">
        <v>2.5</v>
      </c>
      <c r="E21" s="416">
        <v>1</v>
      </c>
      <c r="F21" s="407">
        <f t="shared" si="0"/>
        <v>2.5</v>
      </c>
      <c r="G21" s="413"/>
      <c r="S21" s="384">
        <v>2.5</v>
      </c>
      <c r="T21" s="384">
        <v>1</v>
      </c>
      <c r="U21" s="384">
        <v>2.5</v>
      </c>
    </row>
    <row r="22" s="384" customFormat="1" ht="22" customHeight="1" spans="1:21">
      <c r="A22" s="414"/>
      <c r="B22" s="415" t="s">
        <v>479</v>
      </c>
      <c r="C22" s="415" t="s">
        <v>486</v>
      </c>
      <c r="D22" s="416">
        <v>0.35</v>
      </c>
      <c r="E22" s="416">
        <v>1</v>
      </c>
      <c r="F22" s="407">
        <f t="shared" si="0"/>
        <v>0.35</v>
      </c>
      <c r="G22" s="413"/>
      <c r="S22" s="384">
        <v>0.35</v>
      </c>
      <c r="T22" s="384">
        <v>1</v>
      </c>
      <c r="U22" s="384">
        <v>0.35</v>
      </c>
    </row>
    <row r="23" s="384" customFormat="1" ht="22" customHeight="1" spans="1:21">
      <c r="A23" s="414"/>
      <c r="B23" s="417" t="s">
        <v>359</v>
      </c>
      <c r="C23" s="418" t="s">
        <v>487</v>
      </c>
      <c r="D23" s="419">
        <v>2</v>
      </c>
      <c r="E23" s="420">
        <v>1</v>
      </c>
      <c r="F23" s="407">
        <f t="shared" si="0"/>
        <v>2</v>
      </c>
      <c r="S23" s="384">
        <v>2</v>
      </c>
      <c r="T23" s="384">
        <v>1</v>
      </c>
      <c r="U23" s="384">
        <v>2</v>
      </c>
    </row>
    <row r="24" s="384" customFormat="1" ht="19" customHeight="1" spans="1:21">
      <c r="A24" s="414"/>
      <c r="B24" s="417" t="s">
        <v>361</v>
      </c>
      <c r="C24" s="418" t="s">
        <v>488</v>
      </c>
      <c r="D24" s="419">
        <v>0.04</v>
      </c>
      <c r="E24" s="420">
        <v>20</v>
      </c>
      <c r="F24" s="407">
        <f t="shared" si="0"/>
        <v>0.8</v>
      </c>
      <c r="S24" s="384">
        <v>0.04</v>
      </c>
      <c r="T24" s="384">
        <v>20</v>
      </c>
      <c r="U24" s="384">
        <v>0.8</v>
      </c>
    </row>
    <row r="25" s="384" customFormat="1" ht="22" hidden="1" customHeight="1" spans="1:21">
      <c r="A25" s="414"/>
      <c r="B25" s="417" t="s">
        <v>363</v>
      </c>
      <c r="C25" s="418" t="s">
        <v>489</v>
      </c>
      <c r="D25" s="419">
        <v>0</v>
      </c>
      <c r="E25" s="420">
        <v>1</v>
      </c>
      <c r="F25" s="407">
        <f t="shared" si="0"/>
        <v>0</v>
      </c>
      <c r="S25" s="384">
        <v>18</v>
      </c>
      <c r="T25" s="384">
        <v>1</v>
      </c>
      <c r="U25" s="384">
        <v>18</v>
      </c>
    </row>
    <row r="26" s="384" customFormat="1" ht="22" customHeight="1" spans="1:21">
      <c r="A26" s="414"/>
      <c r="B26" s="417" t="s">
        <v>213</v>
      </c>
      <c r="C26" s="418" t="s">
        <v>490</v>
      </c>
      <c r="D26" s="419">
        <v>8</v>
      </c>
      <c r="E26" s="420">
        <v>1</v>
      </c>
      <c r="F26" s="407">
        <f t="shared" si="0"/>
        <v>8</v>
      </c>
      <c r="S26" s="384">
        <v>8</v>
      </c>
      <c r="T26" s="384">
        <v>1</v>
      </c>
      <c r="U26" s="384">
        <v>8</v>
      </c>
    </row>
    <row r="27" s="384" customFormat="1" ht="22" customHeight="1" spans="1:21">
      <c r="A27" s="414"/>
      <c r="B27" s="417" t="s">
        <v>213</v>
      </c>
      <c r="C27" s="418" t="s">
        <v>491</v>
      </c>
      <c r="D27" s="419">
        <v>3</v>
      </c>
      <c r="E27" s="420">
        <v>1</v>
      </c>
      <c r="F27" s="407">
        <f t="shared" si="0"/>
        <v>3</v>
      </c>
      <c r="S27" s="384">
        <v>3</v>
      </c>
      <c r="T27" s="384">
        <v>1</v>
      </c>
      <c r="U27" s="384">
        <v>3</v>
      </c>
    </row>
    <row r="28" s="384" customFormat="1" ht="22" customHeight="1" spans="1:21">
      <c r="A28" s="414"/>
      <c r="B28" s="417" t="s">
        <v>213</v>
      </c>
      <c r="C28" s="418" t="s">
        <v>492</v>
      </c>
      <c r="D28" s="419">
        <v>2</v>
      </c>
      <c r="E28" s="420">
        <v>1</v>
      </c>
      <c r="F28" s="407">
        <f t="shared" si="0"/>
        <v>2</v>
      </c>
      <c r="S28" s="384">
        <v>2</v>
      </c>
      <c r="T28" s="384">
        <v>1</v>
      </c>
      <c r="U28" s="384">
        <v>2</v>
      </c>
    </row>
    <row r="29" s="384" customFormat="1" ht="22" customHeight="1" spans="1:21">
      <c r="A29" s="414"/>
      <c r="B29" s="417" t="s">
        <v>216</v>
      </c>
      <c r="C29" s="418" t="s">
        <v>493</v>
      </c>
      <c r="D29" s="419">
        <v>2.08</v>
      </c>
      <c r="E29" s="420">
        <v>1</v>
      </c>
      <c r="F29" s="407">
        <f t="shared" si="0"/>
        <v>2.08</v>
      </c>
      <c r="S29" s="384">
        <v>2.08</v>
      </c>
      <c r="T29" s="384">
        <v>1</v>
      </c>
      <c r="U29" s="384">
        <v>2.08</v>
      </c>
    </row>
    <row r="30" s="384" customFormat="1" ht="22" customHeight="1" spans="1:21">
      <c r="A30" s="414"/>
      <c r="B30" s="415" t="s">
        <v>216</v>
      </c>
      <c r="C30" s="415" t="s">
        <v>494</v>
      </c>
      <c r="D30" s="421">
        <v>0.0495</v>
      </c>
      <c r="E30" s="421">
        <v>2</v>
      </c>
      <c r="F30" s="407">
        <f t="shared" si="0"/>
        <v>0.099</v>
      </c>
      <c r="S30" s="384">
        <v>0.0495</v>
      </c>
      <c r="T30" s="384">
        <v>2</v>
      </c>
      <c r="U30" s="384">
        <v>0.099</v>
      </c>
    </row>
    <row r="31" s="384" customFormat="1" ht="22" customHeight="1" spans="1:21">
      <c r="A31" s="414"/>
      <c r="B31" s="422" t="s">
        <v>216</v>
      </c>
      <c r="C31" s="415" t="s">
        <v>495</v>
      </c>
      <c r="D31" s="420">
        <v>0.19</v>
      </c>
      <c r="E31" s="420">
        <v>2</v>
      </c>
      <c r="F31" s="407">
        <f t="shared" si="0"/>
        <v>0.38</v>
      </c>
      <c r="S31" s="384">
        <v>0.19</v>
      </c>
      <c r="T31" s="384">
        <v>2</v>
      </c>
      <c r="U31" s="384">
        <v>0.38</v>
      </c>
    </row>
    <row r="32" s="384" customFormat="1" ht="22" customHeight="1" spans="1:21">
      <c r="A32" s="414"/>
      <c r="B32" s="417" t="s">
        <v>216</v>
      </c>
      <c r="C32" s="418" t="s">
        <v>496</v>
      </c>
      <c r="D32" s="419">
        <v>0.016</v>
      </c>
      <c r="E32" s="420">
        <v>2</v>
      </c>
      <c r="F32" s="407">
        <f t="shared" si="0"/>
        <v>0.032</v>
      </c>
      <c r="S32" s="384">
        <v>0.016</v>
      </c>
      <c r="T32" s="384">
        <v>2</v>
      </c>
      <c r="U32" s="384">
        <v>0.032</v>
      </c>
    </row>
    <row r="33" s="384" customFormat="1" ht="22" customHeight="1" spans="1:21">
      <c r="A33" s="414"/>
      <c r="B33" s="417" t="s">
        <v>225</v>
      </c>
      <c r="C33" s="418" t="s">
        <v>497</v>
      </c>
      <c r="D33" s="419">
        <v>1</v>
      </c>
      <c r="E33" s="420">
        <v>1</v>
      </c>
      <c r="F33" s="407">
        <f t="shared" si="0"/>
        <v>1</v>
      </c>
      <c r="S33" s="384">
        <v>1</v>
      </c>
      <c r="T33" s="384">
        <v>1</v>
      </c>
      <c r="U33" s="384">
        <v>1</v>
      </c>
    </row>
    <row r="34" s="384" customFormat="1" ht="22" customHeight="1" spans="1:21">
      <c r="A34" s="414"/>
      <c r="B34" s="422" t="s">
        <v>225</v>
      </c>
      <c r="C34" s="415" t="s">
        <v>480</v>
      </c>
      <c r="D34" s="420">
        <v>2</v>
      </c>
      <c r="E34" s="420">
        <v>1</v>
      </c>
      <c r="F34" s="407">
        <f t="shared" si="0"/>
        <v>2</v>
      </c>
      <c r="S34" s="384">
        <v>2</v>
      </c>
      <c r="T34" s="384">
        <v>1</v>
      </c>
      <c r="U34" s="384">
        <v>2</v>
      </c>
    </row>
    <row r="35" s="384" customFormat="1" ht="22" customHeight="1" spans="1:21">
      <c r="A35" s="414"/>
      <c r="B35" s="422" t="s">
        <v>364</v>
      </c>
      <c r="C35" s="415" t="s">
        <v>498</v>
      </c>
      <c r="D35" s="420">
        <v>3</v>
      </c>
      <c r="E35" s="420">
        <v>1</v>
      </c>
      <c r="F35" s="407">
        <f t="shared" si="0"/>
        <v>3</v>
      </c>
      <c r="S35" s="384">
        <v>3</v>
      </c>
      <c r="T35" s="384">
        <v>1</v>
      </c>
      <c r="U35" s="384">
        <v>3</v>
      </c>
    </row>
    <row r="36" s="384" customFormat="1" ht="22" customHeight="1" spans="1:21">
      <c r="A36" s="414"/>
      <c r="B36" s="422" t="s">
        <v>364</v>
      </c>
      <c r="C36" s="415" t="s">
        <v>499</v>
      </c>
      <c r="D36" s="420">
        <v>5</v>
      </c>
      <c r="E36" s="420">
        <v>1</v>
      </c>
      <c r="F36" s="407">
        <f t="shared" si="0"/>
        <v>5</v>
      </c>
      <c r="S36" s="384">
        <v>5</v>
      </c>
      <c r="T36" s="384">
        <v>1</v>
      </c>
      <c r="U36" s="384">
        <v>5</v>
      </c>
    </row>
    <row r="37" s="384" customFormat="1" ht="22" customHeight="1" spans="1:21">
      <c r="A37" s="414"/>
      <c r="B37" s="417" t="s">
        <v>364</v>
      </c>
      <c r="C37" s="418" t="s">
        <v>500</v>
      </c>
      <c r="D37" s="419">
        <v>2.5</v>
      </c>
      <c r="E37" s="420">
        <v>1</v>
      </c>
      <c r="F37" s="407">
        <f t="shared" si="0"/>
        <v>2.5</v>
      </c>
      <c r="S37" s="384">
        <v>2.5</v>
      </c>
      <c r="T37" s="384">
        <v>1</v>
      </c>
      <c r="U37" s="384">
        <v>2.5</v>
      </c>
    </row>
    <row r="38" s="384" customFormat="1" ht="22" customHeight="1" spans="1:21">
      <c r="A38" s="414"/>
      <c r="B38" s="417" t="s">
        <v>501</v>
      </c>
      <c r="C38" s="418" t="s">
        <v>502</v>
      </c>
      <c r="D38" s="419">
        <v>0.5</v>
      </c>
      <c r="E38" s="420">
        <v>1</v>
      </c>
      <c r="F38" s="407">
        <f t="shared" si="0"/>
        <v>0.5</v>
      </c>
      <c r="S38" s="384">
        <v>0.5</v>
      </c>
      <c r="T38" s="384">
        <v>1</v>
      </c>
      <c r="U38" s="384">
        <v>0.5</v>
      </c>
    </row>
    <row r="39" s="384" customFormat="1" ht="22" customHeight="1" spans="1:21">
      <c r="A39" s="414"/>
      <c r="B39" s="415" t="s">
        <v>232</v>
      </c>
      <c r="C39" s="415" t="s">
        <v>503</v>
      </c>
      <c r="D39" s="421">
        <v>0.2</v>
      </c>
      <c r="E39" s="421">
        <v>1</v>
      </c>
      <c r="F39" s="407">
        <f t="shared" si="0"/>
        <v>0.2</v>
      </c>
      <c r="S39" s="384">
        <v>0.2</v>
      </c>
      <c r="T39" s="384">
        <v>1</v>
      </c>
      <c r="U39" s="384">
        <v>0.2</v>
      </c>
    </row>
    <row r="40" s="384" customFormat="1" ht="22" customHeight="1" spans="1:21">
      <c r="A40" s="414"/>
      <c r="B40" s="417" t="s">
        <v>232</v>
      </c>
      <c r="C40" s="418" t="s">
        <v>504</v>
      </c>
      <c r="D40" s="419">
        <v>0.15</v>
      </c>
      <c r="E40" s="420">
        <v>1</v>
      </c>
      <c r="F40" s="407">
        <f t="shared" si="0"/>
        <v>0.15</v>
      </c>
      <c r="S40" s="384">
        <v>0.15</v>
      </c>
      <c r="T40" s="384">
        <v>1</v>
      </c>
      <c r="U40" s="384">
        <v>0.15</v>
      </c>
    </row>
    <row r="41" s="384" customFormat="1" ht="22" customHeight="1" spans="1:21">
      <c r="A41" s="414"/>
      <c r="B41" s="417" t="s">
        <v>505</v>
      </c>
      <c r="C41" s="418" t="s">
        <v>483</v>
      </c>
      <c r="D41" s="419">
        <v>0.035</v>
      </c>
      <c r="E41" s="420">
        <v>20</v>
      </c>
      <c r="F41" s="407">
        <f t="shared" ref="F41:F64" si="1">D41*E41</f>
        <v>0.7</v>
      </c>
      <c r="S41" s="384">
        <v>0.035</v>
      </c>
      <c r="T41" s="384">
        <v>20</v>
      </c>
      <c r="U41" s="384">
        <v>0.7</v>
      </c>
    </row>
    <row r="42" s="384" customFormat="1" ht="22" customHeight="1" spans="1:21">
      <c r="A42" s="414"/>
      <c r="B42" s="417" t="s">
        <v>505</v>
      </c>
      <c r="C42" s="418" t="s">
        <v>506</v>
      </c>
      <c r="D42" s="419">
        <v>0.015</v>
      </c>
      <c r="E42" s="420">
        <v>20</v>
      </c>
      <c r="F42" s="407">
        <f t="shared" si="1"/>
        <v>0.3</v>
      </c>
      <c r="S42" s="384">
        <v>0.015</v>
      </c>
      <c r="T42" s="384">
        <v>20</v>
      </c>
      <c r="U42" s="384">
        <v>0.3</v>
      </c>
    </row>
    <row r="43" s="384" customFormat="1" ht="22" customHeight="1" spans="1:21">
      <c r="A43" s="414"/>
      <c r="B43" s="417" t="s">
        <v>220</v>
      </c>
      <c r="C43" s="418" t="s">
        <v>482</v>
      </c>
      <c r="D43" s="419">
        <v>0.4</v>
      </c>
      <c r="E43" s="420">
        <v>1</v>
      </c>
      <c r="F43" s="407">
        <f t="shared" si="1"/>
        <v>0.4</v>
      </c>
      <c r="S43" s="384">
        <v>0.4</v>
      </c>
      <c r="T43" s="384">
        <v>1</v>
      </c>
      <c r="U43" s="384">
        <v>0.4</v>
      </c>
    </row>
    <row r="44" s="384" customFormat="1" ht="22" customHeight="1" spans="1:21">
      <c r="A44" s="414"/>
      <c r="B44" s="417" t="s">
        <v>220</v>
      </c>
      <c r="C44" s="418" t="s">
        <v>481</v>
      </c>
      <c r="D44" s="419">
        <v>0.4</v>
      </c>
      <c r="E44" s="420">
        <v>1</v>
      </c>
      <c r="F44" s="407">
        <f t="shared" si="1"/>
        <v>0.4</v>
      </c>
      <c r="S44" s="384">
        <v>0.4</v>
      </c>
      <c r="T44" s="384">
        <v>1</v>
      </c>
      <c r="U44" s="384">
        <v>0.4</v>
      </c>
    </row>
    <row r="45" s="384" customFormat="1" ht="22" customHeight="1" spans="1:21">
      <c r="A45" s="414"/>
      <c r="B45" s="417" t="s">
        <v>220</v>
      </c>
      <c r="C45" s="418" t="s">
        <v>507</v>
      </c>
      <c r="D45" s="419">
        <v>1</v>
      </c>
      <c r="E45" s="420">
        <v>1</v>
      </c>
      <c r="F45" s="407">
        <f t="shared" si="1"/>
        <v>1</v>
      </c>
      <c r="S45" s="384">
        <v>1</v>
      </c>
      <c r="T45" s="384">
        <v>1</v>
      </c>
      <c r="U45" s="384">
        <v>1</v>
      </c>
    </row>
    <row r="46" s="384" customFormat="1" ht="22" customHeight="1" spans="1:21">
      <c r="A46" s="414"/>
      <c r="B46" s="417" t="s">
        <v>220</v>
      </c>
      <c r="C46" s="418" t="s">
        <v>508</v>
      </c>
      <c r="D46" s="419">
        <v>0.05</v>
      </c>
      <c r="E46" s="420">
        <v>1</v>
      </c>
      <c r="F46" s="407">
        <f t="shared" si="1"/>
        <v>0.05</v>
      </c>
      <c r="S46" s="384">
        <v>0.05</v>
      </c>
      <c r="T46" s="384">
        <v>1</v>
      </c>
      <c r="U46" s="384">
        <v>0.05</v>
      </c>
    </row>
    <row r="47" s="384" customFormat="1" ht="22" customHeight="1" spans="1:21">
      <c r="A47" s="414"/>
      <c r="B47" s="417" t="s">
        <v>220</v>
      </c>
      <c r="C47" s="418" t="s">
        <v>509</v>
      </c>
      <c r="D47" s="419">
        <v>0.02</v>
      </c>
      <c r="E47" s="420">
        <v>2</v>
      </c>
      <c r="F47" s="407">
        <f t="shared" si="1"/>
        <v>0.04</v>
      </c>
      <c r="S47" s="384">
        <v>0.02</v>
      </c>
      <c r="T47" s="384">
        <v>2</v>
      </c>
      <c r="U47" s="384">
        <v>0.04</v>
      </c>
    </row>
    <row r="48" s="384" customFormat="1" ht="22" customHeight="1" spans="1:21">
      <c r="A48" s="414"/>
      <c r="B48" s="417" t="s">
        <v>220</v>
      </c>
      <c r="C48" s="418" t="s">
        <v>510</v>
      </c>
      <c r="D48" s="419">
        <v>0.02</v>
      </c>
      <c r="E48" s="420">
        <v>2</v>
      </c>
      <c r="F48" s="407">
        <f t="shared" si="1"/>
        <v>0.04</v>
      </c>
      <c r="S48" s="384">
        <v>0.02</v>
      </c>
      <c r="T48" s="384">
        <v>2</v>
      </c>
      <c r="U48" s="384">
        <v>0.04</v>
      </c>
    </row>
    <row r="49" s="384" customFormat="1" ht="20" customHeight="1" spans="1:21">
      <c r="A49" s="414"/>
      <c r="B49" s="417" t="s">
        <v>220</v>
      </c>
      <c r="C49" s="418" t="s">
        <v>511</v>
      </c>
      <c r="D49" s="419">
        <v>0.5</v>
      </c>
      <c r="E49" s="420">
        <v>4</v>
      </c>
      <c r="F49" s="407">
        <f t="shared" si="1"/>
        <v>2</v>
      </c>
      <c r="S49" s="384">
        <v>0.5</v>
      </c>
      <c r="T49" s="384">
        <v>4</v>
      </c>
      <c r="U49" s="384">
        <v>2</v>
      </c>
    </row>
    <row r="50" s="384" customFormat="1" ht="22" hidden="1" customHeight="1" spans="1:21">
      <c r="A50" s="414"/>
      <c r="B50" s="417" t="s">
        <v>211</v>
      </c>
      <c r="C50" s="418" t="s">
        <v>512</v>
      </c>
      <c r="D50" s="419">
        <v>0</v>
      </c>
      <c r="E50" s="420">
        <v>1</v>
      </c>
      <c r="F50" s="407">
        <f t="shared" si="1"/>
        <v>0</v>
      </c>
      <c r="S50" s="384">
        <v>58</v>
      </c>
      <c r="T50" s="384">
        <v>1</v>
      </c>
      <c r="U50" s="384">
        <v>58</v>
      </c>
    </row>
    <row r="51" s="384" customFormat="1" ht="22" hidden="1" customHeight="1" spans="1:21">
      <c r="A51" s="414"/>
      <c r="B51" s="417" t="s">
        <v>211</v>
      </c>
      <c r="C51" s="418" t="s">
        <v>513</v>
      </c>
      <c r="D51" s="419">
        <v>0</v>
      </c>
      <c r="E51" s="420">
        <v>1</v>
      </c>
      <c r="F51" s="407">
        <f t="shared" si="1"/>
        <v>0</v>
      </c>
      <c r="S51" s="384">
        <v>28</v>
      </c>
      <c r="T51" s="384">
        <v>1</v>
      </c>
      <c r="U51" s="384">
        <v>28</v>
      </c>
    </row>
    <row r="52" s="384" customFormat="1" ht="22" customHeight="1" spans="1:21">
      <c r="A52" s="414"/>
      <c r="B52" s="417" t="s">
        <v>211</v>
      </c>
      <c r="C52" s="418" t="s">
        <v>514</v>
      </c>
      <c r="D52" s="419">
        <v>5</v>
      </c>
      <c r="E52" s="420">
        <v>1</v>
      </c>
      <c r="F52" s="407">
        <f t="shared" si="1"/>
        <v>5</v>
      </c>
      <c r="S52" s="384">
        <v>5</v>
      </c>
      <c r="T52" s="384">
        <v>1</v>
      </c>
      <c r="U52" s="384">
        <v>5</v>
      </c>
    </row>
    <row r="53" s="384" customFormat="1" ht="22" customHeight="1" spans="1:21">
      <c r="A53" s="414"/>
      <c r="B53" s="417" t="s">
        <v>165</v>
      </c>
      <c r="C53" s="418" t="s">
        <v>515</v>
      </c>
      <c r="D53" s="419">
        <v>6</v>
      </c>
      <c r="E53" s="420">
        <v>1</v>
      </c>
      <c r="F53" s="407">
        <f t="shared" si="1"/>
        <v>6</v>
      </c>
      <c r="S53" s="384">
        <v>6</v>
      </c>
      <c r="T53" s="384">
        <v>1</v>
      </c>
      <c r="U53" s="384">
        <v>6</v>
      </c>
    </row>
    <row r="54" s="384" customFormat="1" ht="19" customHeight="1" spans="1:21">
      <c r="A54" s="414"/>
      <c r="B54" s="417" t="s">
        <v>366</v>
      </c>
      <c r="C54" s="418" t="s">
        <v>516</v>
      </c>
      <c r="D54" s="419">
        <v>3</v>
      </c>
      <c r="E54" s="420">
        <v>1</v>
      </c>
      <c r="F54" s="407">
        <f t="shared" si="1"/>
        <v>3</v>
      </c>
      <c r="S54" s="384">
        <v>3</v>
      </c>
      <c r="T54" s="384">
        <v>1</v>
      </c>
      <c r="U54" s="384">
        <v>3</v>
      </c>
    </row>
    <row r="55" s="384" customFormat="1" ht="27" hidden="1" customHeight="1" spans="1:21">
      <c r="A55" s="414"/>
      <c r="B55" s="417" t="s">
        <v>163</v>
      </c>
      <c r="C55" s="418" t="s">
        <v>517</v>
      </c>
      <c r="D55" s="419">
        <v>0</v>
      </c>
      <c r="E55" s="420">
        <v>1</v>
      </c>
      <c r="F55" s="407">
        <f t="shared" si="1"/>
        <v>0</v>
      </c>
      <c r="S55" s="384">
        <v>10</v>
      </c>
      <c r="T55" s="384">
        <v>1</v>
      </c>
      <c r="U55" s="384">
        <v>10</v>
      </c>
    </row>
    <row r="56" s="384" customFormat="1" ht="30" hidden="1" customHeight="1" spans="1:21">
      <c r="A56" s="414"/>
      <c r="B56" s="415" t="s">
        <v>163</v>
      </c>
      <c r="C56" s="415" t="s">
        <v>518</v>
      </c>
      <c r="D56" s="421">
        <v>0</v>
      </c>
      <c r="E56" s="421">
        <v>1</v>
      </c>
      <c r="F56" s="407">
        <f t="shared" si="1"/>
        <v>0</v>
      </c>
      <c r="S56" s="384">
        <v>30</v>
      </c>
      <c r="T56" s="384">
        <v>1</v>
      </c>
      <c r="U56" s="384">
        <v>30</v>
      </c>
    </row>
    <row r="57" s="384" customFormat="1" ht="22" customHeight="1" spans="1:21">
      <c r="A57" s="414"/>
      <c r="B57" s="417" t="s">
        <v>252</v>
      </c>
      <c r="C57" s="418" t="s">
        <v>519</v>
      </c>
      <c r="D57" s="419">
        <v>5</v>
      </c>
      <c r="E57" s="420">
        <v>1</v>
      </c>
      <c r="F57" s="407">
        <f t="shared" si="1"/>
        <v>5</v>
      </c>
      <c r="S57" s="384">
        <v>5</v>
      </c>
      <c r="T57" s="384">
        <v>1</v>
      </c>
      <c r="U57" s="384">
        <v>5</v>
      </c>
    </row>
    <row r="58" s="384" customFormat="1" ht="22" customHeight="1" spans="1:21">
      <c r="A58" s="414"/>
      <c r="B58" s="417" t="s">
        <v>520</v>
      </c>
      <c r="C58" s="418" t="s">
        <v>521</v>
      </c>
      <c r="D58" s="419">
        <v>3.5</v>
      </c>
      <c r="E58" s="420">
        <v>1</v>
      </c>
      <c r="F58" s="407">
        <f t="shared" si="1"/>
        <v>3.5</v>
      </c>
      <c r="S58" s="384">
        <v>3.5</v>
      </c>
      <c r="T58" s="384">
        <v>1</v>
      </c>
      <c r="U58" s="384">
        <v>3.5</v>
      </c>
    </row>
    <row r="59" s="384" customFormat="1" ht="22" customHeight="1" spans="1:21">
      <c r="A59" s="414"/>
      <c r="B59" s="417" t="s">
        <v>234</v>
      </c>
      <c r="C59" s="418" t="s">
        <v>522</v>
      </c>
      <c r="D59" s="419">
        <v>10</v>
      </c>
      <c r="E59" s="420">
        <v>1</v>
      </c>
      <c r="F59" s="407">
        <f t="shared" si="1"/>
        <v>10</v>
      </c>
      <c r="S59" s="384">
        <v>10</v>
      </c>
      <c r="T59" s="384">
        <v>1</v>
      </c>
      <c r="U59" s="384">
        <v>10</v>
      </c>
    </row>
    <row r="60" s="384" customFormat="1" ht="22" customHeight="1" spans="1:21">
      <c r="A60" s="414"/>
      <c r="B60" s="422" t="s">
        <v>195</v>
      </c>
      <c r="C60" s="415" t="s">
        <v>482</v>
      </c>
      <c r="D60" s="421">
        <v>0.4</v>
      </c>
      <c r="E60" s="421">
        <v>5</v>
      </c>
      <c r="F60" s="407">
        <f t="shared" si="1"/>
        <v>2</v>
      </c>
      <c r="S60" s="384">
        <v>0.4</v>
      </c>
      <c r="T60" s="384">
        <v>5</v>
      </c>
      <c r="U60" s="384">
        <v>2</v>
      </c>
    </row>
    <row r="61" s="384" customFormat="1" ht="22" customHeight="1" spans="1:21">
      <c r="A61" s="414"/>
      <c r="B61" s="417" t="s">
        <v>195</v>
      </c>
      <c r="C61" s="418" t="s">
        <v>523</v>
      </c>
      <c r="D61" s="419">
        <v>0.03</v>
      </c>
      <c r="E61" s="420">
        <v>5</v>
      </c>
      <c r="F61" s="407">
        <f t="shared" si="1"/>
        <v>0.15</v>
      </c>
      <c r="S61" s="384">
        <v>0.03</v>
      </c>
      <c r="T61" s="384">
        <v>5</v>
      </c>
      <c r="U61" s="384">
        <v>0.15</v>
      </c>
    </row>
    <row r="62" s="384" customFormat="1" ht="22" customHeight="1" spans="1:21">
      <c r="A62" s="414"/>
      <c r="B62" s="417" t="s">
        <v>195</v>
      </c>
      <c r="C62" s="418" t="s">
        <v>524</v>
      </c>
      <c r="D62" s="423">
        <v>2</v>
      </c>
      <c r="E62" s="420">
        <v>1</v>
      </c>
      <c r="F62" s="407">
        <f t="shared" si="1"/>
        <v>2</v>
      </c>
      <c r="S62" s="384">
        <v>2</v>
      </c>
      <c r="T62" s="384">
        <v>1</v>
      </c>
      <c r="U62" s="384">
        <v>2</v>
      </c>
    </row>
    <row r="63" s="384" customFormat="1" ht="22" customHeight="1" spans="1:21">
      <c r="A63" s="414"/>
      <c r="B63" s="417" t="s">
        <v>195</v>
      </c>
      <c r="C63" s="418" t="s">
        <v>481</v>
      </c>
      <c r="D63" s="419">
        <v>0.4</v>
      </c>
      <c r="E63" s="420">
        <v>3</v>
      </c>
      <c r="F63" s="407">
        <f t="shared" si="1"/>
        <v>1.2</v>
      </c>
      <c r="S63" s="384">
        <v>0.4</v>
      </c>
      <c r="T63" s="384">
        <v>3</v>
      </c>
      <c r="U63" s="384">
        <v>1.2</v>
      </c>
    </row>
    <row r="64" s="384" customFormat="1" ht="22" customHeight="1" spans="1:21">
      <c r="A64" s="414"/>
      <c r="B64" s="422" t="s">
        <v>195</v>
      </c>
      <c r="C64" s="415" t="s">
        <v>525</v>
      </c>
      <c r="D64" s="420">
        <v>2</v>
      </c>
      <c r="E64" s="420">
        <v>3</v>
      </c>
      <c r="F64" s="407">
        <f t="shared" si="1"/>
        <v>6</v>
      </c>
      <c r="S64" s="384">
        <v>2</v>
      </c>
      <c r="T64" s="384">
        <v>3</v>
      </c>
      <c r="U64" s="384">
        <v>6</v>
      </c>
    </row>
    <row r="65" s="384" customFormat="1" ht="22" customHeight="1" spans="1:21">
      <c r="A65" s="414"/>
      <c r="B65" s="422" t="s">
        <v>218</v>
      </c>
      <c r="C65" s="415" t="s">
        <v>526</v>
      </c>
      <c r="D65" s="420">
        <v>230</v>
      </c>
      <c r="E65" s="420">
        <v>1</v>
      </c>
      <c r="F65" s="407">
        <v>230</v>
      </c>
      <c r="G65" s="384" t="s">
        <v>527</v>
      </c>
      <c r="S65" s="384">
        <v>230</v>
      </c>
      <c r="T65" s="384">
        <v>1</v>
      </c>
      <c r="U65" s="384">
        <v>230</v>
      </c>
    </row>
    <row r="66" s="384" customFormat="1" ht="22" customHeight="1" spans="1:21">
      <c r="A66" s="414"/>
      <c r="B66" s="422" t="s">
        <v>252</v>
      </c>
      <c r="C66" s="415" t="s">
        <v>528</v>
      </c>
      <c r="D66" s="420">
        <v>2</v>
      </c>
      <c r="E66" s="420">
        <v>1</v>
      </c>
      <c r="F66" s="407">
        <v>2</v>
      </c>
      <c r="G66" s="384" t="s">
        <v>527</v>
      </c>
      <c r="S66" s="384">
        <v>2</v>
      </c>
      <c r="T66" s="384">
        <v>1</v>
      </c>
      <c r="U66" s="384">
        <v>2</v>
      </c>
    </row>
    <row r="67" s="384" customFormat="1" ht="33" customHeight="1" spans="1:21">
      <c r="A67" s="424" t="s">
        <v>148</v>
      </c>
      <c r="B67" s="412" t="s">
        <v>529</v>
      </c>
      <c r="C67" s="412"/>
      <c r="D67" s="425"/>
      <c r="E67" s="426">
        <f>SUM(E68:E79)</f>
        <v>32</v>
      </c>
      <c r="F67" s="425">
        <f>SUM(F68:F79)</f>
        <v>5.04</v>
      </c>
      <c r="T67" s="384">
        <v>84</v>
      </c>
      <c r="U67" s="384">
        <v>79.675</v>
      </c>
    </row>
    <row r="68" s="384" customFormat="1" ht="22" customHeight="1" spans="1:21">
      <c r="A68" s="427"/>
      <c r="B68" s="415"/>
      <c r="C68" s="415" t="s">
        <v>530</v>
      </c>
      <c r="D68" s="428">
        <v>0.18</v>
      </c>
      <c r="E68" s="428">
        <v>1</v>
      </c>
      <c r="F68" s="429">
        <f t="shared" ref="F68:F78" si="2">D68*E68</f>
        <v>0.18</v>
      </c>
      <c r="S68" s="384">
        <v>0.18</v>
      </c>
      <c r="T68" s="384">
        <v>1</v>
      </c>
      <c r="U68" s="384">
        <v>0.18</v>
      </c>
    </row>
    <row r="69" s="384" customFormat="1" ht="22" customHeight="1" spans="1:21">
      <c r="A69" s="427"/>
      <c r="B69" s="415"/>
      <c r="C69" s="415" t="s">
        <v>531</v>
      </c>
      <c r="D69" s="428">
        <v>0.35</v>
      </c>
      <c r="E69" s="428">
        <v>1</v>
      </c>
      <c r="F69" s="429">
        <f t="shared" si="2"/>
        <v>0.35</v>
      </c>
      <c r="S69" s="384">
        <v>0.35</v>
      </c>
      <c r="T69" s="384">
        <v>1</v>
      </c>
      <c r="U69" s="384">
        <v>0.35</v>
      </c>
    </row>
    <row r="70" s="384" customFormat="1" ht="22" customHeight="1" spans="1:21">
      <c r="A70" s="427"/>
      <c r="B70" s="415"/>
      <c r="C70" s="415" t="s">
        <v>532</v>
      </c>
      <c r="D70" s="428">
        <v>0.1</v>
      </c>
      <c r="E70" s="428">
        <v>1</v>
      </c>
      <c r="F70" s="429">
        <f t="shared" si="2"/>
        <v>0.1</v>
      </c>
      <c r="S70" s="384">
        <v>0.1</v>
      </c>
      <c r="T70" s="384">
        <v>1</v>
      </c>
      <c r="U70" s="384">
        <v>0.1</v>
      </c>
    </row>
    <row r="71" s="384" customFormat="1" ht="22" customHeight="1" spans="1:21">
      <c r="A71" s="427"/>
      <c r="B71" s="415"/>
      <c r="C71" s="415" t="s">
        <v>533</v>
      </c>
      <c r="D71" s="428">
        <v>0.2</v>
      </c>
      <c r="E71" s="428">
        <v>1</v>
      </c>
      <c r="F71" s="429">
        <f t="shared" si="2"/>
        <v>0.2</v>
      </c>
      <c r="S71" s="384">
        <v>0.2</v>
      </c>
      <c r="T71" s="384">
        <v>1</v>
      </c>
      <c r="U71" s="384">
        <v>0.2</v>
      </c>
    </row>
    <row r="72" s="384" customFormat="1" ht="22" customHeight="1" spans="1:21">
      <c r="A72" s="427"/>
      <c r="B72" s="415"/>
      <c r="C72" s="415" t="s">
        <v>534</v>
      </c>
      <c r="D72" s="428">
        <v>0.2</v>
      </c>
      <c r="E72" s="428">
        <v>1</v>
      </c>
      <c r="F72" s="429">
        <f t="shared" si="2"/>
        <v>0.2</v>
      </c>
      <c r="S72" s="384">
        <v>0.2</v>
      </c>
      <c r="T72" s="384">
        <v>1</v>
      </c>
      <c r="U72" s="384">
        <v>0.2</v>
      </c>
    </row>
    <row r="73" s="384" customFormat="1" ht="22" customHeight="1" spans="1:21">
      <c r="A73" s="427"/>
      <c r="B73" s="415"/>
      <c r="C73" s="415" t="s">
        <v>535</v>
      </c>
      <c r="D73" s="428">
        <v>2</v>
      </c>
      <c r="E73" s="428">
        <v>1</v>
      </c>
      <c r="F73" s="429">
        <f t="shared" si="2"/>
        <v>2</v>
      </c>
      <c r="S73" s="384">
        <v>2</v>
      </c>
      <c r="T73" s="384">
        <v>1</v>
      </c>
      <c r="U73" s="384">
        <v>2</v>
      </c>
    </row>
    <row r="74" s="384" customFormat="1" ht="22" customHeight="1" spans="1:21">
      <c r="A74" s="427"/>
      <c r="B74" s="415"/>
      <c r="C74" s="415" t="s">
        <v>536</v>
      </c>
      <c r="D74" s="428">
        <v>2</v>
      </c>
      <c r="E74" s="428">
        <v>0</v>
      </c>
      <c r="F74" s="429">
        <f t="shared" si="2"/>
        <v>0</v>
      </c>
      <c r="S74" s="384">
        <v>2</v>
      </c>
      <c r="T74" s="384">
        <v>1</v>
      </c>
      <c r="U74" s="384">
        <v>2</v>
      </c>
    </row>
    <row r="75" s="384" customFormat="1" ht="22" customHeight="1" spans="1:21">
      <c r="A75" s="427"/>
      <c r="B75" s="415"/>
      <c r="C75" s="415" t="s">
        <v>537</v>
      </c>
      <c r="D75" s="428">
        <v>0.05</v>
      </c>
      <c r="E75" s="428">
        <v>1</v>
      </c>
      <c r="F75" s="429">
        <f t="shared" si="2"/>
        <v>0.05</v>
      </c>
      <c r="S75" s="384">
        <v>0.05</v>
      </c>
      <c r="T75" s="384">
        <v>1</v>
      </c>
      <c r="U75" s="384">
        <v>0.05</v>
      </c>
    </row>
    <row r="76" s="384" customFormat="1" ht="22" customHeight="1" spans="1:21">
      <c r="A76" s="427"/>
      <c r="B76" s="415"/>
      <c r="C76" s="415" t="s">
        <v>538</v>
      </c>
      <c r="D76" s="428">
        <v>0.04</v>
      </c>
      <c r="E76" s="428">
        <v>20</v>
      </c>
      <c r="F76" s="429">
        <f t="shared" si="2"/>
        <v>0.8</v>
      </c>
      <c r="S76" s="384">
        <v>0.04</v>
      </c>
      <c r="T76" s="384">
        <v>20</v>
      </c>
      <c r="U76" s="384">
        <v>0.8</v>
      </c>
    </row>
    <row r="77" s="384" customFormat="1" ht="22" customHeight="1" spans="1:21">
      <c r="A77" s="427"/>
      <c r="B77" s="415"/>
      <c r="C77" s="415" t="s">
        <v>539</v>
      </c>
      <c r="D77" s="428">
        <v>0.8</v>
      </c>
      <c r="E77" s="428">
        <v>1</v>
      </c>
      <c r="F77" s="429">
        <f t="shared" si="2"/>
        <v>0.8</v>
      </c>
      <c r="S77" s="384">
        <v>0.8</v>
      </c>
      <c r="T77" s="384">
        <v>1</v>
      </c>
      <c r="U77" s="384">
        <v>0.8</v>
      </c>
    </row>
    <row r="78" s="384" customFormat="1" ht="22" customHeight="1" spans="1:21">
      <c r="A78" s="427"/>
      <c r="B78" s="415"/>
      <c r="C78" s="415" t="s">
        <v>540</v>
      </c>
      <c r="D78" s="428">
        <v>0.02</v>
      </c>
      <c r="E78" s="428">
        <v>3</v>
      </c>
      <c r="F78" s="429">
        <f t="shared" si="2"/>
        <v>0.06</v>
      </c>
      <c r="S78" s="384">
        <v>0.02</v>
      </c>
      <c r="T78" s="384">
        <v>3</v>
      </c>
      <c r="U78" s="384">
        <v>0.06</v>
      </c>
    </row>
    <row r="79" s="384" customFormat="1" ht="24" customHeight="1" spans="1:21">
      <c r="A79" s="427"/>
      <c r="B79" s="415"/>
      <c r="C79" s="415" t="s">
        <v>541</v>
      </c>
      <c r="D79" s="428">
        <v>0.3</v>
      </c>
      <c r="E79" s="428">
        <v>1</v>
      </c>
      <c r="F79" s="429">
        <v>0.3</v>
      </c>
      <c r="G79" s="429"/>
      <c r="H79" s="430">
        <v>0</v>
      </c>
      <c r="I79" s="429">
        <v>0.3</v>
      </c>
      <c r="S79" s="384">
        <v>0.3</v>
      </c>
      <c r="T79" s="384">
        <v>1</v>
      </c>
      <c r="U79" s="384">
        <v>0.3</v>
      </c>
    </row>
    <row r="80" s="384" customFormat="1" ht="24.95" hidden="1" customHeight="1" spans="1:21">
      <c r="A80" s="427"/>
      <c r="B80" s="412" t="s">
        <v>542</v>
      </c>
      <c r="C80" s="412"/>
      <c r="D80" s="425">
        <f>D81</f>
        <v>129</v>
      </c>
      <c r="E80" s="425">
        <f>E81</f>
        <v>0</v>
      </c>
      <c r="F80" s="425">
        <f>F81</f>
        <v>0</v>
      </c>
      <c r="S80" s="384">
        <v>129</v>
      </c>
      <c r="T80" s="384">
        <v>1</v>
      </c>
      <c r="U80" s="384">
        <v>129</v>
      </c>
    </row>
    <row r="81" s="384" customFormat="1" ht="30" hidden="1" customHeight="1" spans="1:21">
      <c r="A81" s="431"/>
      <c r="B81" s="412"/>
      <c r="C81" s="415" t="s">
        <v>543</v>
      </c>
      <c r="D81" s="428">
        <v>129</v>
      </c>
      <c r="E81" s="428">
        <v>0</v>
      </c>
      <c r="F81" s="407">
        <f>D81*E81</f>
        <v>0</v>
      </c>
      <c r="S81" s="384">
        <v>129</v>
      </c>
      <c r="T81" s="384">
        <v>1</v>
      </c>
      <c r="U81" s="384">
        <v>129</v>
      </c>
    </row>
    <row r="82" s="387" customFormat="1" ht="24.95" customHeight="1" spans="1:21">
      <c r="A82" s="432" t="s">
        <v>151</v>
      </c>
      <c r="B82" s="412" t="s">
        <v>544</v>
      </c>
      <c r="C82" s="412"/>
      <c r="D82" s="433">
        <f>SUM(D83:D83)</f>
        <v>0</v>
      </c>
      <c r="E82" s="433">
        <f>SUM(E83:E83)</f>
        <v>0</v>
      </c>
      <c r="F82" s="433">
        <f>SUM(F83:F83)</f>
        <v>0</v>
      </c>
      <c r="J82" s="453"/>
      <c r="K82" s="453"/>
      <c r="L82" s="454"/>
      <c r="M82" s="453"/>
      <c r="N82" s="453"/>
      <c r="O82" s="453"/>
      <c r="P82" s="454"/>
      <c r="S82" s="387">
        <v>0</v>
      </c>
      <c r="T82" s="387">
        <v>0</v>
      </c>
      <c r="U82" s="387">
        <v>0</v>
      </c>
    </row>
    <row r="83" s="384" customFormat="1" ht="24.95" hidden="1" customHeight="1" spans="1:21">
      <c r="A83" s="434"/>
      <c r="B83" s="435" t="s">
        <v>151</v>
      </c>
      <c r="C83" s="435"/>
      <c r="D83" s="436"/>
      <c r="E83" s="436"/>
      <c r="F83" s="437"/>
      <c r="J83" s="455"/>
      <c r="K83" s="455"/>
      <c r="L83" s="456"/>
      <c r="M83" s="455"/>
      <c r="N83" s="455"/>
      <c r="O83" s="455"/>
      <c r="P83" s="457"/>
      <c r="U83" s="464"/>
    </row>
    <row r="84" s="385" customFormat="1" ht="24.95" customHeight="1" spans="1:21">
      <c r="A84" s="438" t="s">
        <v>344</v>
      </c>
      <c r="B84" s="439" t="s">
        <v>345</v>
      </c>
      <c r="C84" s="439" t="s">
        <v>346</v>
      </c>
      <c r="D84" s="438" t="s">
        <v>545</v>
      </c>
      <c r="E84" s="439"/>
      <c r="F84" s="440" t="s">
        <v>546</v>
      </c>
      <c r="J84" s="458"/>
      <c r="K84" s="458"/>
      <c r="L84" s="459"/>
      <c r="M84" s="458"/>
      <c r="N84" s="458"/>
      <c r="O84" s="458"/>
      <c r="P84" s="459"/>
      <c r="S84" s="385" t="s">
        <v>545</v>
      </c>
      <c r="U84" s="385" t="s">
        <v>546</v>
      </c>
    </row>
    <row r="85" s="385" customFormat="1" ht="24.95" customHeight="1" spans="1:16">
      <c r="A85" s="438"/>
      <c r="B85" s="439"/>
      <c r="C85" s="439"/>
      <c r="D85" s="438"/>
      <c r="E85" s="439"/>
      <c r="F85" s="441"/>
      <c r="J85" s="458"/>
      <c r="K85" s="458"/>
      <c r="L85" s="459"/>
      <c r="M85" s="458"/>
      <c r="N85" s="458"/>
      <c r="O85" s="458"/>
      <c r="P85" s="459"/>
    </row>
    <row r="86" s="384" customFormat="1" ht="37.5" customHeight="1" spans="1:21">
      <c r="A86" s="442" t="s">
        <v>547</v>
      </c>
      <c r="B86" s="443" t="s">
        <v>548</v>
      </c>
      <c r="C86" s="444" t="s">
        <v>469</v>
      </c>
      <c r="D86" s="445"/>
      <c r="E86" s="445">
        <f>SUM(E87:E94)</f>
        <v>8</v>
      </c>
      <c r="F86" s="446">
        <f>SUM(F87:F94)</f>
        <v>205.0932</v>
      </c>
      <c r="H86" s="447"/>
      <c r="J86" s="455"/>
      <c r="K86" s="455"/>
      <c r="L86" s="456"/>
      <c r="M86" s="455"/>
      <c r="N86" s="455"/>
      <c r="O86" s="455"/>
      <c r="P86" s="457"/>
      <c r="T86" s="384">
        <v>8</v>
      </c>
      <c r="U86" s="384">
        <v>275.3932</v>
      </c>
    </row>
    <row r="87" s="384" customFormat="1" ht="22" customHeight="1" spans="1:21">
      <c r="A87" s="411" t="s">
        <v>145</v>
      </c>
      <c r="B87" s="415" t="s">
        <v>145</v>
      </c>
      <c r="C87" s="415" t="s">
        <v>549</v>
      </c>
      <c r="D87" s="428">
        <v>90</v>
      </c>
      <c r="E87" s="428">
        <v>1</v>
      </c>
      <c r="F87" s="448">
        <f>D87*E87</f>
        <v>90</v>
      </c>
      <c r="J87" s="455"/>
      <c r="K87" s="455"/>
      <c r="L87" s="456"/>
      <c r="M87" s="455"/>
      <c r="N87" s="455"/>
      <c r="O87" s="455"/>
      <c r="P87" s="457"/>
      <c r="S87" s="384">
        <v>90</v>
      </c>
      <c r="T87" s="384">
        <v>1</v>
      </c>
      <c r="U87" s="384">
        <v>90</v>
      </c>
    </row>
    <row r="88" s="384" customFormat="1" ht="22" customHeight="1" spans="1:21">
      <c r="A88" s="414"/>
      <c r="B88" s="415" t="s">
        <v>145</v>
      </c>
      <c r="C88" s="415" t="s">
        <v>550</v>
      </c>
      <c r="D88" s="407">
        <v>10.5532</v>
      </c>
      <c r="E88" s="428">
        <v>1</v>
      </c>
      <c r="F88" s="448">
        <f t="shared" ref="F88:F94" si="3">D88*E88</f>
        <v>10.5532</v>
      </c>
      <c r="J88" s="455"/>
      <c r="K88" s="455"/>
      <c r="L88" s="456"/>
      <c r="M88" s="455"/>
      <c r="N88" s="455"/>
      <c r="O88" s="455"/>
      <c r="P88" s="457"/>
      <c r="S88" s="384">
        <v>10.5532</v>
      </c>
      <c r="T88" s="384">
        <v>1</v>
      </c>
      <c r="U88" s="384">
        <v>10.5532</v>
      </c>
    </row>
    <row r="89" s="384" customFormat="1" ht="31" customHeight="1" spans="1:21">
      <c r="A89" s="414"/>
      <c r="B89" s="415" t="s">
        <v>145</v>
      </c>
      <c r="C89" s="415" t="s">
        <v>551</v>
      </c>
      <c r="D89" s="407">
        <v>3</v>
      </c>
      <c r="E89" s="428">
        <v>1</v>
      </c>
      <c r="F89" s="448">
        <f t="shared" si="3"/>
        <v>3</v>
      </c>
      <c r="J89" s="460"/>
      <c r="K89" s="460"/>
      <c r="L89" s="461"/>
      <c r="M89" s="460"/>
      <c r="N89" s="460"/>
      <c r="O89" s="460"/>
      <c r="P89" s="462"/>
      <c r="S89" s="384">
        <v>3</v>
      </c>
      <c r="T89" s="384">
        <v>1</v>
      </c>
      <c r="U89" s="384">
        <v>3</v>
      </c>
    </row>
    <row r="90" s="384" customFormat="1" ht="22" hidden="1" customHeight="1" spans="1:21">
      <c r="A90" s="414"/>
      <c r="B90" s="417" t="s">
        <v>354</v>
      </c>
      <c r="C90" s="418" t="s">
        <v>552</v>
      </c>
      <c r="D90" s="449">
        <v>0</v>
      </c>
      <c r="E90" s="420">
        <v>1</v>
      </c>
      <c r="F90" s="448">
        <f t="shared" si="3"/>
        <v>0</v>
      </c>
      <c r="J90" s="455"/>
      <c r="K90" s="455"/>
      <c r="L90" s="456"/>
      <c r="M90" s="455"/>
      <c r="N90" s="455"/>
      <c r="O90" s="455"/>
      <c r="P90" s="457"/>
      <c r="S90" s="384">
        <v>24.8</v>
      </c>
      <c r="T90" s="384">
        <v>1</v>
      </c>
      <c r="U90" s="384">
        <v>24.8</v>
      </c>
    </row>
    <row r="91" s="384" customFormat="1" ht="22" hidden="1" customHeight="1" spans="1:21">
      <c r="A91" s="414"/>
      <c r="B91" s="422" t="s">
        <v>354</v>
      </c>
      <c r="C91" s="415" t="s">
        <v>553</v>
      </c>
      <c r="D91" s="449">
        <v>0</v>
      </c>
      <c r="E91" s="420">
        <v>1</v>
      </c>
      <c r="F91" s="448">
        <f t="shared" si="3"/>
        <v>0</v>
      </c>
      <c r="G91" s="384" t="s">
        <v>554</v>
      </c>
      <c r="J91" s="460"/>
      <c r="K91" s="460"/>
      <c r="L91" s="461"/>
      <c r="M91" s="460"/>
      <c r="N91" s="460"/>
      <c r="O91" s="460"/>
      <c r="P91" s="462"/>
      <c r="S91" s="384">
        <v>17</v>
      </c>
      <c r="T91" s="384">
        <v>1</v>
      </c>
      <c r="U91" s="384">
        <v>25.5</v>
      </c>
    </row>
    <row r="92" s="384" customFormat="1" ht="22" customHeight="1" spans="1:21">
      <c r="A92" s="414"/>
      <c r="B92" s="422" t="s">
        <v>354</v>
      </c>
      <c r="C92" s="415" t="s">
        <v>555</v>
      </c>
      <c r="D92" s="449">
        <v>25.38</v>
      </c>
      <c r="E92" s="420">
        <v>1</v>
      </c>
      <c r="F92" s="448">
        <f t="shared" si="3"/>
        <v>25.38</v>
      </c>
      <c r="J92" s="460"/>
      <c r="K92" s="463"/>
      <c r="L92" s="461"/>
      <c r="M92" s="460"/>
      <c r="N92" s="460"/>
      <c r="O92" s="460"/>
      <c r="P92" s="462"/>
      <c r="S92" s="384">
        <v>25.38</v>
      </c>
      <c r="T92" s="384">
        <v>1</v>
      </c>
      <c r="U92" s="384">
        <v>25.38</v>
      </c>
    </row>
    <row r="93" s="384" customFormat="1" ht="19" customHeight="1" spans="1:21">
      <c r="A93" s="414"/>
      <c r="B93" s="422" t="s">
        <v>354</v>
      </c>
      <c r="C93" s="415" t="s">
        <v>556</v>
      </c>
      <c r="D93" s="449">
        <v>76.16</v>
      </c>
      <c r="E93" s="420">
        <v>1</v>
      </c>
      <c r="F93" s="448">
        <f t="shared" si="3"/>
        <v>76.16</v>
      </c>
      <c r="J93" s="460"/>
      <c r="K93" s="460"/>
      <c r="L93" s="461"/>
      <c r="M93" s="463"/>
      <c r="N93" s="460"/>
      <c r="O93" s="460"/>
      <c r="P93" s="462"/>
      <c r="S93" s="384">
        <v>76.16</v>
      </c>
      <c r="T93" s="384">
        <v>1</v>
      </c>
      <c r="U93" s="384">
        <v>76.16</v>
      </c>
    </row>
    <row r="94" s="384" customFormat="1" ht="22" hidden="1" customHeight="1" spans="1:21">
      <c r="A94" s="450"/>
      <c r="B94" s="422" t="s">
        <v>354</v>
      </c>
      <c r="C94" s="415" t="s">
        <v>557</v>
      </c>
      <c r="D94" s="449">
        <v>0</v>
      </c>
      <c r="E94" s="420">
        <v>1</v>
      </c>
      <c r="F94" s="448">
        <f t="shared" si="3"/>
        <v>0</v>
      </c>
      <c r="J94" s="460"/>
      <c r="K94" s="460"/>
      <c r="L94" s="461"/>
      <c r="M94" s="460"/>
      <c r="N94" s="460"/>
      <c r="O94" s="460"/>
      <c r="P94" s="462"/>
      <c r="S94" s="384">
        <v>20</v>
      </c>
      <c r="T94" s="384">
        <v>1</v>
      </c>
      <c r="U94" s="384">
        <v>20</v>
      </c>
    </row>
    <row r="95" s="384" customFormat="1" spans="2:16">
      <c r="B95" s="388"/>
      <c r="C95" s="389"/>
      <c r="D95" s="390"/>
      <c r="E95" s="390"/>
      <c r="F95" s="390"/>
      <c r="J95" s="460"/>
      <c r="K95" s="460"/>
      <c r="L95" s="461"/>
      <c r="M95" s="460"/>
      <c r="N95" s="460"/>
      <c r="O95" s="460"/>
      <c r="P95" s="462"/>
    </row>
    <row r="96" s="384" customFormat="1" ht="18.75" spans="2:16">
      <c r="B96" s="451" t="s">
        <v>76</v>
      </c>
      <c r="C96" s="51" t="s">
        <v>77</v>
      </c>
      <c r="D96" s="452"/>
      <c r="E96" s="44" t="s">
        <v>140</v>
      </c>
      <c r="F96" s="390"/>
      <c r="J96" s="460"/>
      <c r="K96" s="460"/>
      <c r="L96" s="461"/>
      <c r="M96" s="460"/>
      <c r="N96" s="460"/>
      <c r="O96" s="460"/>
      <c r="P96" s="462"/>
    </row>
    <row r="97" s="384" customFormat="1" spans="2:16">
      <c r="B97" s="388"/>
      <c r="C97" s="389"/>
      <c r="D97" s="390"/>
      <c r="E97" s="390"/>
      <c r="F97" s="390"/>
      <c r="J97" s="460"/>
      <c r="K97" s="460"/>
      <c r="L97" s="461"/>
      <c r="M97" s="460"/>
      <c r="N97" s="460"/>
      <c r="O97" s="460"/>
      <c r="P97" s="462"/>
    </row>
    <row r="98" s="384" customFormat="1" spans="2:16">
      <c r="B98" s="388"/>
      <c r="C98" s="389"/>
      <c r="D98" s="390"/>
      <c r="E98" s="390"/>
      <c r="F98" s="390"/>
      <c r="J98" s="460"/>
      <c r="K98" s="460"/>
      <c r="L98" s="461"/>
      <c r="M98" s="460"/>
      <c r="N98" s="460"/>
      <c r="O98" s="460"/>
      <c r="P98" s="462"/>
    </row>
    <row r="99" s="384" customFormat="1" spans="2:16">
      <c r="B99" s="388"/>
      <c r="C99" s="389"/>
      <c r="D99" s="390"/>
      <c r="E99" s="390"/>
      <c r="F99" s="390"/>
      <c r="J99" s="460"/>
      <c r="K99" s="460"/>
      <c r="L99" s="461"/>
      <c r="M99" s="460"/>
      <c r="N99" s="460"/>
      <c r="O99" s="460"/>
      <c r="P99" s="462"/>
    </row>
    <row r="100" s="384" customFormat="1" spans="2:16">
      <c r="B100" s="388"/>
      <c r="C100" s="389"/>
      <c r="D100" s="390"/>
      <c r="E100" s="390"/>
      <c r="F100" s="390"/>
      <c r="J100" s="460"/>
      <c r="K100" s="460"/>
      <c r="L100" s="461"/>
      <c r="M100" s="460"/>
      <c r="N100" s="460"/>
      <c r="O100" s="460"/>
      <c r="P100" s="462"/>
    </row>
    <row r="101" s="384" customFormat="1" spans="2:16">
      <c r="B101" s="388"/>
      <c r="C101" s="389"/>
      <c r="D101" s="390"/>
      <c r="E101" s="390"/>
      <c r="F101" s="390"/>
      <c r="J101" s="460"/>
      <c r="K101" s="460"/>
      <c r="L101" s="461"/>
      <c r="M101" s="460"/>
      <c r="N101" s="460"/>
      <c r="O101" s="460"/>
      <c r="P101" s="462"/>
    </row>
    <row r="102" s="384" customFormat="1" spans="2:16">
      <c r="B102" s="388"/>
      <c r="C102" s="389"/>
      <c r="D102" s="390"/>
      <c r="E102" s="390"/>
      <c r="F102" s="390"/>
      <c r="J102" s="460"/>
      <c r="K102" s="460"/>
      <c r="L102" s="461"/>
      <c r="M102" s="460"/>
      <c r="N102" s="460"/>
      <c r="O102" s="460"/>
      <c r="P102" s="462"/>
    </row>
    <row r="103" s="384" customFormat="1" spans="2:16">
      <c r="B103" s="388"/>
      <c r="C103" s="389"/>
      <c r="D103" s="390"/>
      <c r="E103" s="390"/>
      <c r="F103" s="390"/>
      <c r="J103" s="460"/>
      <c r="K103" s="460"/>
      <c r="L103" s="461"/>
      <c r="M103" s="460"/>
      <c r="N103" s="460"/>
      <c r="O103" s="460"/>
      <c r="P103" s="462"/>
    </row>
    <row r="104" s="384" customFormat="1" spans="2:16">
      <c r="B104" s="388"/>
      <c r="C104" s="389"/>
      <c r="D104" s="390"/>
      <c r="E104" s="390"/>
      <c r="F104" s="390"/>
      <c r="J104" s="460"/>
      <c r="K104" s="460"/>
      <c r="L104" s="461"/>
      <c r="M104" s="460"/>
      <c r="N104" s="460"/>
      <c r="O104" s="460"/>
      <c r="P104" s="462"/>
    </row>
    <row r="105" s="384" customFormat="1" spans="2:16">
      <c r="B105" s="388"/>
      <c r="C105" s="389"/>
      <c r="D105" s="390"/>
      <c r="E105" s="390"/>
      <c r="F105" s="390"/>
      <c r="J105" s="460"/>
      <c r="K105" s="460"/>
      <c r="L105" s="461"/>
      <c r="M105" s="460"/>
      <c r="N105" s="460"/>
      <c r="O105" s="460"/>
      <c r="P105" s="462"/>
    </row>
    <row r="106" s="384" customFormat="1" spans="2:16">
      <c r="B106" s="388"/>
      <c r="C106" s="389"/>
      <c r="D106" s="390"/>
      <c r="E106" s="390"/>
      <c r="F106" s="390"/>
      <c r="J106" s="460"/>
      <c r="K106" s="460"/>
      <c r="L106" s="461"/>
      <c r="M106" s="460"/>
      <c r="N106" s="460"/>
      <c r="O106" s="460"/>
      <c r="P106" s="462"/>
    </row>
    <row r="107" s="384" customFormat="1" spans="2:16">
      <c r="B107" s="388"/>
      <c r="C107" s="389"/>
      <c r="D107" s="390"/>
      <c r="E107" s="390"/>
      <c r="F107" s="390"/>
      <c r="J107" s="460"/>
      <c r="K107" s="460"/>
      <c r="L107" s="461"/>
      <c r="M107" s="460"/>
      <c r="N107" s="460"/>
      <c r="O107" s="460"/>
      <c r="P107" s="462"/>
    </row>
    <row r="108" s="384" customFormat="1" spans="2:16">
      <c r="B108" s="388"/>
      <c r="C108" s="389"/>
      <c r="D108" s="390"/>
      <c r="E108" s="390"/>
      <c r="F108" s="390"/>
      <c r="J108" s="460"/>
      <c r="K108" s="460"/>
      <c r="L108" s="461"/>
      <c r="M108" s="460"/>
      <c r="N108" s="460"/>
      <c r="O108" s="460"/>
      <c r="P108" s="462"/>
    </row>
    <row r="109" s="384" customFormat="1" spans="2:16">
      <c r="B109" s="388"/>
      <c r="C109" s="389"/>
      <c r="D109" s="390"/>
      <c r="E109" s="390"/>
      <c r="F109" s="390"/>
      <c r="J109" s="460"/>
      <c r="K109" s="460"/>
      <c r="L109" s="461"/>
      <c r="M109" s="460"/>
      <c r="N109" s="460"/>
      <c r="O109" s="460"/>
      <c r="P109" s="462"/>
    </row>
    <row r="110" s="384" customFormat="1" spans="2:16">
      <c r="B110" s="388"/>
      <c r="C110" s="389"/>
      <c r="D110" s="390"/>
      <c r="E110" s="390"/>
      <c r="F110" s="390"/>
      <c r="J110" s="460"/>
      <c r="K110" s="460"/>
      <c r="L110" s="461"/>
      <c r="M110" s="460"/>
      <c r="N110" s="460"/>
      <c r="O110" s="460"/>
      <c r="P110" s="462"/>
    </row>
    <row r="111" s="384" customFormat="1" spans="2:16">
      <c r="B111" s="388"/>
      <c r="C111" s="389"/>
      <c r="D111" s="390"/>
      <c r="E111" s="390"/>
      <c r="F111" s="390"/>
      <c r="J111" s="460"/>
      <c r="K111" s="460"/>
      <c r="L111" s="461"/>
      <c r="M111" s="460"/>
      <c r="N111" s="460"/>
      <c r="O111" s="460"/>
      <c r="P111" s="462"/>
    </row>
    <row r="112" s="384" customFormat="1" spans="2:16">
      <c r="B112" s="388"/>
      <c r="C112" s="389"/>
      <c r="D112" s="390"/>
      <c r="E112" s="390"/>
      <c r="F112" s="390"/>
      <c r="J112" s="460"/>
      <c r="K112" s="460"/>
      <c r="L112" s="461"/>
      <c r="M112" s="460"/>
      <c r="N112" s="460"/>
      <c r="O112" s="460"/>
      <c r="P112" s="462"/>
    </row>
    <row r="113" s="384" customFormat="1" spans="2:6">
      <c r="B113" s="388"/>
      <c r="C113" s="389"/>
      <c r="D113" s="390"/>
      <c r="E113" s="390"/>
      <c r="F113" s="390"/>
    </row>
    <row r="114" s="384" customFormat="1" spans="2:6">
      <c r="B114" s="388"/>
      <c r="C114" s="389"/>
      <c r="D114" s="390"/>
      <c r="E114" s="390"/>
      <c r="F114" s="390"/>
    </row>
    <row r="115" s="384" customFormat="1" spans="2:6">
      <c r="B115" s="388"/>
      <c r="C115" s="389"/>
      <c r="D115" s="390"/>
      <c r="E115" s="390"/>
      <c r="F115" s="390"/>
    </row>
    <row r="116" s="384" customFormat="1" spans="2:6">
      <c r="B116" s="388"/>
      <c r="C116" s="389"/>
      <c r="D116" s="390"/>
      <c r="E116" s="390"/>
      <c r="F116" s="390"/>
    </row>
    <row r="117" s="384" customFormat="1" spans="2:6">
      <c r="B117" s="388"/>
      <c r="C117" s="389"/>
      <c r="D117" s="390"/>
      <c r="E117" s="390"/>
      <c r="F117" s="390"/>
    </row>
    <row r="118" s="384" customFormat="1" spans="2:6">
      <c r="B118" s="388"/>
      <c r="C118" s="389"/>
      <c r="D118" s="390"/>
      <c r="E118" s="390"/>
      <c r="F118" s="390"/>
    </row>
    <row r="119" s="384" customFormat="1" spans="2:6">
      <c r="B119" s="388"/>
      <c r="C119" s="389"/>
      <c r="D119" s="390"/>
      <c r="E119" s="390"/>
      <c r="F119" s="390"/>
    </row>
    <row r="120" s="384" customFormat="1" spans="2:6">
      <c r="B120" s="388"/>
      <c r="C120" s="389"/>
      <c r="D120" s="390"/>
      <c r="E120" s="390"/>
      <c r="F120" s="390"/>
    </row>
    <row r="121" s="384" customFormat="1" spans="2:6">
      <c r="B121" s="388"/>
      <c r="C121" s="389"/>
      <c r="D121" s="390"/>
      <c r="E121" s="390"/>
      <c r="F121" s="390"/>
    </row>
    <row r="122" s="384" customFormat="1" spans="2:6">
      <c r="B122" s="388"/>
      <c r="C122" s="389"/>
      <c r="D122" s="390"/>
      <c r="E122" s="390"/>
      <c r="F122" s="390"/>
    </row>
    <row r="123" s="384" customFormat="1" spans="2:6">
      <c r="B123" s="388"/>
      <c r="C123" s="389"/>
      <c r="D123" s="390"/>
      <c r="E123" s="390"/>
      <c r="F123" s="390"/>
    </row>
    <row r="124" s="384" customFormat="1" spans="2:6">
      <c r="B124" s="388"/>
      <c r="C124" s="389"/>
      <c r="D124" s="390"/>
      <c r="E124" s="390"/>
      <c r="F124" s="390"/>
    </row>
    <row r="125" s="384" customFormat="1" spans="2:6">
      <c r="B125" s="388"/>
      <c r="C125" s="389"/>
      <c r="D125" s="390"/>
      <c r="E125" s="390"/>
      <c r="F125" s="390"/>
    </row>
    <row r="126" s="384" customFormat="1" spans="2:6">
      <c r="B126" s="388"/>
      <c r="C126" s="389"/>
      <c r="D126" s="390"/>
      <c r="E126" s="390"/>
      <c r="F126" s="390"/>
    </row>
    <row r="127" s="384" customFormat="1" spans="2:6">
      <c r="B127" s="388"/>
      <c r="C127" s="389"/>
      <c r="D127" s="390"/>
      <c r="E127" s="390"/>
      <c r="F127" s="390"/>
    </row>
    <row r="128" s="384" customFormat="1" spans="2:6">
      <c r="B128" s="388"/>
      <c r="C128" s="389"/>
      <c r="D128" s="390"/>
      <c r="E128" s="390"/>
      <c r="F128" s="390"/>
    </row>
    <row r="129" s="384" customFormat="1" spans="2:6">
      <c r="B129" s="388"/>
      <c r="C129" s="389"/>
      <c r="D129" s="390"/>
      <c r="E129" s="390"/>
      <c r="F129" s="390"/>
    </row>
    <row r="130" s="384" customFormat="1" spans="2:6">
      <c r="B130" s="388"/>
      <c r="C130" s="389"/>
      <c r="D130" s="390"/>
      <c r="E130" s="390"/>
      <c r="F130" s="390"/>
    </row>
    <row r="131" s="384" customFormat="1" spans="2:6">
      <c r="B131" s="388"/>
      <c r="C131" s="389"/>
      <c r="D131" s="390"/>
      <c r="E131" s="390"/>
      <c r="F131" s="390"/>
    </row>
    <row r="132" s="384" customFormat="1" spans="2:6">
      <c r="B132" s="388"/>
      <c r="C132" s="389"/>
      <c r="D132" s="390"/>
      <c r="E132" s="390"/>
      <c r="F132" s="390"/>
    </row>
    <row r="133" s="384" customFormat="1" spans="2:6">
      <c r="B133" s="388"/>
      <c r="C133" s="389"/>
      <c r="D133" s="390"/>
      <c r="E133" s="390"/>
      <c r="F133" s="390"/>
    </row>
    <row r="134" s="384" customFormat="1" spans="2:6">
      <c r="B134" s="388"/>
      <c r="C134" s="389"/>
      <c r="D134" s="390"/>
      <c r="E134" s="390"/>
      <c r="F134" s="390"/>
    </row>
    <row r="135" s="384" customFormat="1" spans="2:6">
      <c r="B135" s="388"/>
      <c r="C135" s="389"/>
      <c r="D135" s="390"/>
      <c r="E135" s="390"/>
      <c r="F135" s="390"/>
    </row>
    <row r="136" s="384" customFormat="1" spans="2:6">
      <c r="B136" s="388"/>
      <c r="C136" s="389"/>
      <c r="D136" s="390"/>
      <c r="E136" s="390"/>
      <c r="F136" s="390"/>
    </row>
    <row r="137" s="384" customFormat="1" spans="2:6">
      <c r="B137" s="388"/>
      <c r="C137" s="389"/>
      <c r="D137" s="390"/>
      <c r="E137" s="390"/>
      <c r="F137" s="390"/>
    </row>
    <row r="138" s="384" customFormat="1" spans="2:6">
      <c r="B138" s="388"/>
      <c r="C138" s="389"/>
      <c r="D138" s="390"/>
      <c r="E138" s="390"/>
      <c r="F138" s="390"/>
    </row>
    <row r="139" s="384" customFormat="1" spans="2:6">
      <c r="B139" s="388"/>
      <c r="C139" s="389"/>
      <c r="D139" s="390"/>
      <c r="E139" s="390"/>
      <c r="F139" s="390"/>
    </row>
    <row r="140" s="384" customFormat="1" spans="2:6">
      <c r="B140" s="388"/>
      <c r="C140" s="389"/>
      <c r="D140" s="390"/>
      <c r="E140" s="390"/>
      <c r="F140" s="390"/>
    </row>
    <row r="141" s="384" customFormat="1" spans="2:13">
      <c r="B141" s="388"/>
      <c r="C141" s="389"/>
      <c r="D141" s="390"/>
      <c r="E141" s="390"/>
      <c r="F141" s="390"/>
      <c r="G141" s="415"/>
      <c r="H141" s="465"/>
      <c r="I141" s="445"/>
      <c r="J141" s="435"/>
      <c r="K141" s="420"/>
      <c r="L141" s="442"/>
      <c r="M141" s="467"/>
    </row>
    <row r="142" s="384" customFormat="1" spans="2:13">
      <c r="B142" s="388"/>
      <c r="C142" s="389"/>
      <c r="D142" s="390"/>
      <c r="E142" s="390"/>
      <c r="F142" s="390"/>
      <c r="G142" s="415"/>
      <c r="H142" s="465"/>
      <c r="I142" s="445"/>
      <c r="J142" s="435"/>
      <c r="K142" s="420"/>
      <c r="L142" s="442"/>
      <c r="M142" s="467"/>
    </row>
    <row r="143" s="384" customFormat="1" spans="2:13">
      <c r="B143" s="388"/>
      <c r="C143" s="389"/>
      <c r="D143" s="390"/>
      <c r="E143" s="390"/>
      <c r="F143" s="390"/>
      <c r="G143" s="415"/>
      <c r="H143" s="465"/>
      <c r="I143" s="445"/>
      <c r="J143" s="435"/>
      <c r="K143" s="420"/>
      <c r="L143" s="442"/>
      <c r="M143" s="467"/>
    </row>
    <row r="144" s="384" customFormat="1" spans="2:13">
      <c r="B144" s="388"/>
      <c r="C144" s="389"/>
      <c r="D144" s="390"/>
      <c r="E144" s="390"/>
      <c r="F144" s="390"/>
      <c r="G144" s="466"/>
      <c r="H144" s="465"/>
      <c r="I144" s="445"/>
      <c r="J144" s="435"/>
      <c r="K144" s="468"/>
      <c r="L144" s="468"/>
      <c r="M144" s="468"/>
    </row>
    <row r="145" s="384" customFormat="1" spans="2:13">
      <c r="B145" s="388"/>
      <c r="C145" s="389"/>
      <c r="D145" s="390"/>
      <c r="E145" s="390"/>
      <c r="F145" s="390"/>
      <c r="G145" s="415"/>
      <c r="H145" s="465"/>
      <c r="I145" s="445"/>
      <c r="J145" s="435"/>
      <c r="K145" s="428"/>
      <c r="L145" s="433"/>
      <c r="M145" s="467"/>
    </row>
    <row r="146" s="384" customFormat="1" spans="2:13">
      <c r="B146" s="388"/>
      <c r="C146" s="389"/>
      <c r="D146" s="390"/>
      <c r="E146" s="390"/>
      <c r="F146" s="390"/>
      <c r="G146" s="415"/>
      <c r="H146" s="465"/>
      <c r="I146" s="445"/>
      <c r="J146" s="435"/>
      <c r="K146" s="420"/>
      <c r="L146" s="442"/>
      <c r="M146" s="467"/>
    </row>
    <row r="147" s="384" customFormat="1" spans="2:13">
      <c r="B147" s="388"/>
      <c r="C147" s="389"/>
      <c r="D147" s="390"/>
      <c r="E147" s="390"/>
      <c r="F147" s="390"/>
      <c r="G147" s="466"/>
      <c r="H147" s="465"/>
      <c r="I147" s="445"/>
      <c r="J147" s="435"/>
      <c r="K147" s="468"/>
      <c r="L147" s="468"/>
      <c r="M147" s="468"/>
    </row>
    <row r="148" s="384" customFormat="1" spans="2:13">
      <c r="B148" s="388"/>
      <c r="C148" s="389"/>
      <c r="D148" s="390"/>
      <c r="E148" s="390"/>
      <c r="F148" s="390"/>
      <c r="G148" s="466"/>
      <c r="H148" s="465"/>
      <c r="I148" s="445"/>
      <c r="J148" s="435"/>
      <c r="K148" s="468"/>
      <c r="L148" s="468"/>
      <c r="M148" s="468"/>
    </row>
    <row r="149" s="384" customFormat="1" spans="2:13">
      <c r="B149" s="388"/>
      <c r="C149" s="389"/>
      <c r="D149" s="390"/>
      <c r="E149" s="390"/>
      <c r="F149" s="390"/>
      <c r="G149" s="415"/>
      <c r="H149" s="465"/>
      <c r="I149" s="445"/>
      <c r="J149" s="435"/>
      <c r="K149" s="428"/>
      <c r="L149" s="433"/>
      <c r="M149" s="467"/>
    </row>
    <row r="150" s="384" customFormat="1" spans="2:13">
      <c r="B150" s="388"/>
      <c r="C150" s="389"/>
      <c r="D150" s="390"/>
      <c r="E150" s="390"/>
      <c r="F150" s="390"/>
      <c r="G150" s="415"/>
      <c r="H150" s="465"/>
      <c r="I150" s="445"/>
      <c r="J150" s="435"/>
      <c r="K150" s="428"/>
      <c r="L150" s="433"/>
      <c r="M150" s="467"/>
    </row>
    <row r="151" s="384" customFormat="1" spans="2:13">
      <c r="B151" s="388"/>
      <c r="C151" s="389"/>
      <c r="D151" s="390"/>
      <c r="E151" s="390"/>
      <c r="F151" s="390"/>
      <c r="G151" s="415"/>
      <c r="H151" s="465"/>
      <c r="I151" s="445"/>
      <c r="J151" s="435"/>
      <c r="K151" s="420"/>
      <c r="L151" s="442"/>
      <c r="M151" s="467"/>
    </row>
    <row r="152" s="384" customFormat="1" spans="2:13">
      <c r="B152" s="388"/>
      <c r="C152" s="389"/>
      <c r="D152" s="390"/>
      <c r="E152" s="390"/>
      <c r="F152" s="390"/>
      <c r="G152" s="415"/>
      <c r="H152" s="465"/>
      <c r="I152" s="445"/>
      <c r="J152" s="435"/>
      <c r="K152" s="469"/>
      <c r="L152" s="470"/>
      <c r="M152" s="467"/>
    </row>
    <row r="153" s="384" customFormat="1" spans="2:13">
      <c r="B153" s="388"/>
      <c r="C153" s="389"/>
      <c r="D153" s="390"/>
      <c r="E153" s="390"/>
      <c r="F153" s="390"/>
      <c r="G153" s="415"/>
      <c r="H153" s="465"/>
      <c r="I153" s="445"/>
      <c r="J153" s="435"/>
      <c r="K153" s="428"/>
      <c r="L153" s="433"/>
      <c r="M153" s="467"/>
    </row>
    <row r="154" s="384" customFormat="1" spans="2:13">
      <c r="B154" s="388"/>
      <c r="C154" s="389"/>
      <c r="D154" s="390"/>
      <c r="E154" s="390"/>
      <c r="F154" s="390"/>
      <c r="G154" s="415"/>
      <c r="H154" s="465"/>
      <c r="I154" s="445"/>
      <c r="J154" s="435"/>
      <c r="K154" s="428"/>
      <c r="L154" s="433"/>
      <c r="M154" s="467"/>
    </row>
    <row r="155" s="384" customFormat="1" spans="2:13">
      <c r="B155" s="388"/>
      <c r="C155" s="389"/>
      <c r="D155" s="390"/>
      <c r="E155" s="390"/>
      <c r="F155" s="390"/>
      <c r="G155" s="415"/>
      <c r="H155" s="465"/>
      <c r="I155" s="445"/>
      <c r="J155" s="435"/>
      <c r="K155" s="428"/>
      <c r="L155" s="433"/>
      <c r="M155" s="467"/>
    </row>
    <row r="156" s="384" customFormat="1" spans="2:13">
      <c r="B156" s="388"/>
      <c r="C156" s="389"/>
      <c r="D156" s="390"/>
      <c r="E156" s="390"/>
      <c r="F156" s="390"/>
      <c r="G156" s="415"/>
      <c r="H156" s="465"/>
      <c r="I156" s="445"/>
      <c r="J156" s="435"/>
      <c r="K156" s="428"/>
      <c r="L156" s="433"/>
      <c r="M156" s="467"/>
    </row>
    <row r="157" s="384" customFormat="1" spans="2:13">
      <c r="B157" s="388"/>
      <c r="C157" s="389"/>
      <c r="D157" s="390"/>
      <c r="E157" s="390"/>
      <c r="F157" s="390"/>
      <c r="G157" s="415"/>
      <c r="H157" s="465"/>
      <c r="I157" s="445"/>
      <c r="J157" s="435"/>
      <c r="K157" s="428"/>
      <c r="L157" s="433"/>
      <c r="M157" s="467"/>
    </row>
    <row r="158" s="384" customFormat="1" spans="2:13">
      <c r="B158" s="388"/>
      <c r="C158" s="389"/>
      <c r="D158" s="390"/>
      <c r="E158" s="390"/>
      <c r="F158" s="390"/>
      <c r="G158" s="415"/>
      <c r="H158" s="465"/>
      <c r="I158" s="445"/>
      <c r="J158" s="435"/>
      <c r="K158" s="428"/>
      <c r="L158" s="433"/>
      <c r="M158" s="467"/>
    </row>
    <row r="159" s="384" customFormat="1" spans="2:13">
      <c r="B159" s="388"/>
      <c r="C159" s="389"/>
      <c r="D159" s="390"/>
      <c r="E159" s="390"/>
      <c r="F159" s="390"/>
      <c r="G159" s="415"/>
      <c r="H159" s="465"/>
      <c r="I159" s="445"/>
      <c r="J159" s="435"/>
      <c r="K159" s="428"/>
      <c r="L159" s="433"/>
      <c r="M159" s="467"/>
    </row>
    <row r="160" s="384" customFormat="1" spans="2:13">
      <c r="B160" s="388"/>
      <c r="C160" s="389"/>
      <c r="D160" s="390"/>
      <c r="E160" s="390"/>
      <c r="F160" s="390"/>
      <c r="G160" s="415"/>
      <c r="H160" s="465"/>
      <c r="I160" s="445"/>
      <c r="J160" s="435"/>
      <c r="K160" s="428"/>
      <c r="L160" s="433"/>
      <c r="M160" s="467"/>
    </row>
    <row r="161" s="384" customFormat="1" spans="2:13">
      <c r="B161" s="388"/>
      <c r="C161" s="389"/>
      <c r="D161" s="390"/>
      <c r="E161" s="390"/>
      <c r="F161" s="390"/>
      <c r="G161" s="415"/>
      <c r="H161" s="465"/>
      <c r="I161" s="445"/>
      <c r="J161" s="435"/>
      <c r="K161" s="428"/>
      <c r="L161" s="433"/>
      <c r="M161" s="467"/>
    </row>
    <row r="162" s="384" customFormat="1" spans="2:13">
      <c r="B162" s="388"/>
      <c r="C162" s="389"/>
      <c r="D162" s="390"/>
      <c r="E162" s="390"/>
      <c r="F162" s="390"/>
      <c r="G162" s="415"/>
      <c r="H162" s="465"/>
      <c r="I162" s="445"/>
      <c r="J162" s="435"/>
      <c r="K162" s="428"/>
      <c r="L162" s="433"/>
      <c r="M162" s="467"/>
    </row>
    <row r="163" s="384" customFormat="1" spans="2:13">
      <c r="B163" s="388"/>
      <c r="C163" s="389"/>
      <c r="D163" s="390"/>
      <c r="E163" s="390"/>
      <c r="F163" s="390"/>
      <c r="G163" s="415"/>
      <c r="H163" s="465"/>
      <c r="I163" s="445"/>
      <c r="J163" s="435"/>
      <c r="K163" s="428"/>
      <c r="L163" s="433"/>
      <c r="M163" s="467"/>
    </row>
    <row r="164" s="384" customFormat="1" spans="2:13">
      <c r="B164" s="388"/>
      <c r="C164" s="389"/>
      <c r="D164" s="390"/>
      <c r="E164" s="390"/>
      <c r="F164" s="390"/>
      <c r="G164" s="415"/>
      <c r="H164" s="465"/>
      <c r="I164" s="445"/>
      <c r="J164" s="435"/>
      <c r="K164" s="428"/>
      <c r="L164" s="433"/>
      <c r="M164" s="467"/>
    </row>
    <row r="165" s="384" customFormat="1" spans="2:13">
      <c r="B165" s="388"/>
      <c r="C165" s="389"/>
      <c r="D165" s="390"/>
      <c r="E165" s="390"/>
      <c r="F165" s="390"/>
      <c r="G165" s="415"/>
      <c r="H165" s="465"/>
      <c r="I165" s="445"/>
      <c r="J165" s="435"/>
      <c r="K165" s="428"/>
      <c r="L165" s="433"/>
      <c r="M165" s="467"/>
    </row>
  </sheetData>
  <mergeCells count="18">
    <mergeCell ref="A1:F1"/>
    <mergeCell ref="B5:C5"/>
    <mergeCell ref="A3:A4"/>
    <mergeCell ref="A7:A66"/>
    <mergeCell ref="A67:A81"/>
    <mergeCell ref="A82:A83"/>
    <mergeCell ref="A84:A85"/>
    <mergeCell ref="A87:A94"/>
    <mergeCell ref="B3:B4"/>
    <mergeCell ref="B84:B85"/>
    <mergeCell ref="C3:C4"/>
    <mergeCell ref="C84:C85"/>
    <mergeCell ref="D3:D4"/>
    <mergeCell ref="D84:D85"/>
    <mergeCell ref="E3:E4"/>
    <mergeCell ref="E84:E85"/>
    <mergeCell ref="F3:F4"/>
    <mergeCell ref="F84:F85"/>
  </mergeCells>
  <pageMargins left="0.432638888888889" right="0.275" top="0.590277777777778" bottom="0.314583333333333" header="0.5" footer="0.354166666666667"/>
  <pageSetup paperSize="9" scale="9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J9" sqref="J9"/>
    </sheetView>
  </sheetViews>
  <sheetFormatPr defaultColWidth="9" defaultRowHeight="14.25" outlineLevelCol="5"/>
  <cols>
    <col min="1" max="1" width="7.625" style="51" customWidth="1"/>
    <col min="2" max="2" width="26.75" style="44" customWidth="1"/>
    <col min="3" max="3" width="13.25" style="44" customWidth="1"/>
    <col min="4" max="4" width="14.375" style="44" customWidth="1"/>
    <col min="5" max="5" width="16.25" style="51" customWidth="1"/>
    <col min="6" max="6" width="9.875" style="44" customWidth="1"/>
    <col min="7" max="7" width="9" style="44" customWidth="1"/>
    <col min="8" max="16384" width="9" style="44"/>
  </cols>
  <sheetData>
    <row r="1" s="44" customFormat="1" ht="36" customHeight="1" spans="1:6">
      <c r="A1" s="375" t="s">
        <v>558</v>
      </c>
      <c r="B1" s="375"/>
      <c r="C1" s="375"/>
      <c r="D1" s="375"/>
      <c r="E1" s="375"/>
      <c r="F1" s="375"/>
    </row>
    <row r="2" s="44" customFormat="1" ht="31" customHeight="1" spans="1:6">
      <c r="A2" s="376" t="s">
        <v>559</v>
      </c>
      <c r="B2" s="376"/>
      <c r="C2" s="375"/>
      <c r="D2" s="377"/>
      <c r="E2" s="377"/>
      <c r="F2" s="378"/>
    </row>
    <row r="3" s="374" customFormat="1" ht="36" customHeight="1" spans="1:6">
      <c r="A3" s="367" t="s">
        <v>55</v>
      </c>
      <c r="B3" s="367" t="s">
        <v>432</v>
      </c>
      <c r="C3" s="367" t="s">
        <v>281</v>
      </c>
      <c r="D3" s="367" t="s">
        <v>279</v>
      </c>
      <c r="E3" s="368" t="s">
        <v>560</v>
      </c>
      <c r="F3" s="367" t="s">
        <v>433</v>
      </c>
    </row>
    <row r="4" s="44" customFormat="1" ht="30" customHeight="1" spans="1:6">
      <c r="A4" s="64">
        <v>1</v>
      </c>
      <c r="B4" s="85" t="s">
        <v>561</v>
      </c>
      <c r="C4" s="62">
        <v>4533.183875</v>
      </c>
      <c r="D4" s="64" t="s">
        <v>562</v>
      </c>
      <c r="E4" s="62">
        <f t="shared" ref="E4:E6" si="0">C4*12*73/10000</f>
        <v>397.10690745</v>
      </c>
      <c r="F4" s="379"/>
    </row>
    <row r="5" s="44" customFormat="1" ht="30" customHeight="1" spans="1:6">
      <c r="A5" s="64">
        <v>2</v>
      </c>
      <c r="B5" s="85" t="s">
        <v>563</v>
      </c>
      <c r="C5" s="62">
        <v>1595.30673515982</v>
      </c>
      <c r="D5" s="64" t="s">
        <v>562</v>
      </c>
      <c r="E5" s="62">
        <f t="shared" si="0"/>
        <v>139.74887</v>
      </c>
      <c r="F5" s="379"/>
    </row>
    <row r="6" s="44" customFormat="1" ht="30" customHeight="1" spans="1:6">
      <c r="A6" s="64">
        <v>3</v>
      </c>
      <c r="B6" s="85" t="s">
        <v>564</v>
      </c>
      <c r="C6" s="62">
        <v>425.411780821918</v>
      </c>
      <c r="D6" s="64" t="s">
        <v>562</v>
      </c>
      <c r="E6" s="62">
        <f t="shared" si="0"/>
        <v>37.266072</v>
      </c>
      <c r="F6" s="379"/>
    </row>
    <row r="7" s="44" customFormat="1" ht="30" customHeight="1" spans="1:6">
      <c r="A7" s="64">
        <v>4</v>
      </c>
      <c r="B7" s="85" t="s">
        <v>565</v>
      </c>
      <c r="C7" s="62">
        <v>150</v>
      </c>
      <c r="D7" s="64" t="s">
        <v>566</v>
      </c>
      <c r="E7" s="62">
        <f t="shared" ref="E7:E10" si="1">C7*73/10000</f>
        <v>1.095</v>
      </c>
      <c r="F7" s="379"/>
    </row>
    <row r="8" s="44" customFormat="1" ht="30" customHeight="1" spans="1:6">
      <c r="A8" s="64">
        <v>5</v>
      </c>
      <c r="B8" s="85" t="s">
        <v>567</v>
      </c>
      <c r="C8" s="62">
        <v>1200</v>
      </c>
      <c r="D8" s="64" t="s">
        <v>566</v>
      </c>
      <c r="E8" s="62">
        <f t="shared" si="1"/>
        <v>8.76</v>
      </c>
      <c r="F8" s="379"/>
    </row>
    <row r="9" s="44" customFormat="1" ht="30" customHeight="1" spans="1:6">
      <c r="A9" s="64">
        <v>6</v>
      </c>
      <c r="B9" s="85" t="s">
        <v>568</v>
      </c>
      <c r="C9" s="62">
        <f>30+88</f>
        <v>118</v>
      </c>
      <c r="D9" s="64" t="s">
        <v>566</v>
      </c>
      <c r="E9" s="62">
        <f t="shared" si="1"/>
        <v>0.8614</v>
      </c>
      <c r="F9" s="379"/>
    </row>
    <row r="10" s="44" customFormat="1" ht="30" customHeight="1" spans="1:6">
      <c r="A10" s="64">
        <v>7</v>
      </c>
      <c r="B10" s="85" t="s">
        <v>569</v>
      </c>
      <c r="C10" s="62">
        <v>500</v>
      </c>
      <c r="D10" s="64" t="s">
        <v>566</v>
      </c>
      <c r="E10" s="62">
        <f t="shared" si="1"/>
        <v>3.65</v>
      </c>
      <c r="F10" s="379"/>
    </row>
    <row r="11" s="44" customFormat="1" ht="30" customHeight="1" spans="1:6">
      <c r="A11" s="64">
        <v>8</v>
      </c>
      <c r="B11" s="85" t="s">
        <v>570</v>
      </c>
      <c r="C11" s="380">
        <v>0.08</v>
      </c>
      <c r="D11" s="64"/>
      <c r="E11" s="62">
        <v>53.44</v>
      </c>
      <c r="F11" s="379"/>
    </row>
    <row r="12" s="44" customFormat="1" ht="30" customHeight="1" spans="1:6">
      <c r="A12" s="64">
        <v>9</v>
      </c>
      <c r="B12" s="85" t="s">
        <v>571</v>
      </c>
      <c r="C12" s="64"/>
      <c r="D12" s="64"/>
      <c r="E12" s="62">
        <v>5.46</v>
      </c>
      <c r="F12" s="379"/>
    </row>
    <row r="13" s="44" customFormat="1" ht="30" customHeight="1" spans="1:6">
      <c r="A13" s="64">
        <v>10</v>
      </c>
      <c r="B13" s="85" t="s">
        <v>572</v>
      </c>
      <c r="C13" s="64">
        <v>2000</v>
      </c>
      <c r="D13" s="64" t="s">
        <v>573</v>
      </c>
      <c r="E13" s="62">
        <v>3</v>
      </c>
      <c r="F13" s="379"/>
    </row>
    <row r="14" s="44" customFormat="1" ht="30" customHeight="1" spans="1:6">
      <c r="A14" s="64">
        <v>11</v>
      </c>
      <c r="B14" s="85" t="s">
        <v>574</v>
      </c>
      <c r="C14" s="64">
        <f>2000+1000</f>
        <v>3000</v>
      </c>
      <c r="D14" s="64" t="s">
        <v>575</v>
      </c>
      <c r="E14" s="62">
        <v>3.6</v>
      </c>
      <c r="F14" s="379"/>
    </row>
    <row r="15" s="44" customFormat="1" ht="30" customHeight="1" spans="1:6">
      <c r="A15" s="64">
        <v>12</v>
      </c>
      <c r="B15" s="85" t="s">
        <v>576</v>
      </c>
      <c r="C15" s="64">
        <v>100000</v>
      </c>
      <c r="D15" s="64">
        <v>1</v>
      </c>
      <c r="E15" s="62">
        <v>10</v>
      </c>
      <c r="F15" s="379"/>
    </row>
    <row r="16" s="44" customFormat="1" ht="30" customHeight="1" spans="1:6">
      <c r="A16" s="64">
        <v>13</v>
      </c>
      <c r="B16" s="85" t="s">
        <v>577</v>
      </c>
      <c r="C16" s="64">
        <v>39100</v>
      </c>
      <c r="D16" s="64">
        <v>1</v>
      </c>
      <c r="E16" s="62">
        <v>3.91</v>
      </c>
      <c r="F16" s="379"/>
    </row>
    <row r="17" s="44" customFormat="1" ht="27" customHeight="1" spans="1:6">
      <c r="A17" s="381" t="s">
        <v>34</v>
      </c>
      <c r="B17" s="86"/>
      <c r="C17" s="86"/>
      <c r="D17" s="86"/>
      <c r="E17" s="382">
        <f>SUM(E4:E16)</f>
        <v>667.89824945</v>
      </c>
      <c r="F17" s="383"/>
    </row>
    <row r="18" spans="2:5">
      <c r="B18" s="373" t="s">
        <v>76</v>
      </c>
      <c r="C18" s="51" t="s">
        <v>77</v>
      </c>
      <c r="E18" s="44" t="s">
        <v>140</v>
      </c>
    </row>
  </sheetData>
  <mergeCells count="1">
    <mergeCell ref="A1:F1"/>
  </mergeCells>
  <pageMargins left="0.75" right="0.393055555555556"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J6" sqref="J6"/>
    </sheetView>
  </sheetViews>
  <sheetFormatPr defaultColWidth="9" defaultRowHeight="14.25" outlineLevelCol="5"/>
  <cols>
    <col min="1" max="1" width="5.625" style="51" customWidth="1"/>
    <col min="2" max="2" width="23.125" style="44" customWidth="1"/>
    <col min="3" max="3" width="15.5" style="51" customWidth="1"/>
    <col min="4" max="4" width="20.125" style="44" customWidth="1"/>
    <col min="5" max="5" width="11.625" style="44" customWidth="1"/>
    <col min="6" max="6" width="55" style="44" customWidth="1"/>
    <col min="7" max="16384" width="9" style="44"/>
  </cols>
  <sheetData>
    <row r="1" s="44" customFormat="1" ht="51" customHeight="1" spans="1:6">
      <c r="A1" s="366" t="s">
        <v>578</v>
      </c>
      <c r="B1" s="366"/>
      <c r="C1" s="366"/>
      <c r="D1" s="366"/>
      <c r="E1" s="366"/>
      <c r="F1" s="366"/>
    </row>
    <row r="2" s="51" customFormat="1" ht="36" customHeight="1" spans="1:6">
      <c r="A2" s="367" t="s">
        <v>55</v>
      </c>
      <c r="B2" s="367" t="s">
        <v>56</v>
      </c>
      <c r="C2" s="368" t="s">
        <v>579</v>
      </c>
      <c r="D2" s="367" t="s">
        <v>157</v>
      </c>
      <c r="E2" s="368" t="s">
        <v>580</v>
      </c>
      <c r="F2" s="367" t="s">
        <v>581</v>
      </c>
    </row>
    <row r="3" s="44" customFormat="1" ht="30" customHeight="1" spans="1:6">
      <c r="A3" s="64">
        <v>1</v>
      </c>
      <c r="B3" s="85" t="s">
        <v>561</v>
      </c>
      <c r="C3" s="64">
        <v>250</v>
      </c>
      <c r="D3" s="369"/>
      <c r="E3" s="85" t="s">
        <v>582</v>
      </c>
      <c r="F3" s="370" t="s">
        <v>583</v>
      </c>
    </row>
    <row r="4" s="44" customFormat="1" ht="30" customHeight="1" spans="1:6">
      <c r="A4" s="64">
        <v>2</v>
      </c>
      <c r="B4" s="369" t="s">
        <v>584</v>
      </c>
      <c r="C4" s="64">
        <v>108</v>
      </c>
      <c r="D4" s="369" t="s">
        <v>585</v>
      </c>
      <c r="E4" s="85" t="s">
        <v>582</v>
      </c>
      <c r="F4" s="369" t="s">
        <v>586</v>
      </c>
    </row>
    <row r="5" s="44" customFormat="1" ht="30" customHeight="1" spans="1:6">
      <c r="A5" s="64">
        <v>3</v>
      </c>
      <c r="B5" s="85" t="s">
        <v>587</v>
      </c>
      <c r="C5" s="64">
        <v>5.16</v>
      </c>
      <c r="D5" s="369" t="s">
        <v>588</v>
      </c>
      <c r="E5" s="85" t="s">
        <v>582</v>
      </c>
      <c r="F5" s="369" t="s">
        <v>589</v>
      </c>
    </row>
    <row r="6" s="44" customFormat="1" ht="30" customHeight="1" spans="1:6">
      <c r="A6" s="64">
        <v>4</v>
      </c>
      <c r="B6" s="85" t="s">
        <v>569</v>
      </c>
      <c r="C6" s="64">
        <v>2.3</v>
      </c>
      <c r="D6" s="369" t="s">
        <v>590</v>
      </c>
      <c r="E6" s="85" t="s">
        <v>582</v>
      </c>
      <c r="F6" s="369" t="s">
        <v>591</v>
      </c>
    </row>
    <row r="7" s="44" customFormat="1" ht="30" customHeight="1" spans="1:6">
      <c r="A7" s="64">
        <v>5</v>
      </c>
      <c r="B7" s="85" t="s">
        <v>592</v>
      </c>
      <c r="C7" s="64">
        <v>0.12</v>
      </c>
      <c r="D7" s="369" t="s">
        <v>593</v>
      </c>
      <c r="E7" s="85" t="s">
        <v>582</v>
      </c>
      <c r="F7" s="369"/>
    </row>
    <row r="8" s="44" customFormat="1" ht="30" customHeight="1" spans="1:6">
      <c r="A8" s="64">
        <v>6</v>
      </c>
      <c r="B8" s="85" t="s">
        <v>571</v>
      </c>
      <c r="C8" s="64">
        <v>4</v>
      </c>
      <c r="D8" s="85" t="s">
        <v>594</v>
      </c>
      <c r="E8" s="85" t="s">
        <v>582</v>
      </c>
      <c r="F8" s="369" t="s">
        <v>595</v>
      </c>
    </row>
    <row r="9" s="44" customFormat="1" ht="30" customHeight="1" spans="1:6">
      <c r="A9" s="64">
        <v>7</v>
      </c>
      <c r="B9" s="85" t="s">
        <v>596</v>
      </c>
      <c r="C9" s="64">
        <v>0.8</v>
      </c>
      <c r="D9" s="85" t="s">
        <v>597</v>
      </c>
      <c r="E9" s="85" t="s">
        <v>582</v>
      </c>
      <c r="F9" s="369" t="s">
        <v>598</v>
      </c>
    </row>
    <row r="10" s="44" customFormat="1" ht="30" customHeight="1" spans="1:6">
      <c r="A10" s="64">
        <v>8</v>
      </c>
      <c r="B10" s="85" t="s">
        <v>599</v>
      </c>
      <c r="C10" s="64">
        <v>3.5</v>
      </c>
      <c r="D10" s="85"/>
      <c r="E10" s="85" t="s">
        <v>582</v>
      </c>
      <c r="F10" s="369" t="s">
        <v>600</v>
      </c>
    </row>
    <row r="11" s="44" customFormat="1" ht="30" customHeight="1" spans="1:6">
      <c r="A11" s="64">
        <v>9</v>
      </c>
      <c r="B11" s="85" t="s">
        <v>601</v>
      </c>
      <c r="C11" s="64">
        <v>10</v>
      </c>
      <c r="D11" s="85" t="s">
        <v>588</v>
      </c>
      <c r="E11" s="85" t="s">
        <v>582</v>
      </c>
      <c r="F11" s="369"/>
    </row>
    <row r="12" s="44" customFormat="1" ht="30" customHeight="1" spans="1:6">
      <c r="A12" s="64">
        <v>10</v>
      </c>
      <c r="B12" s="85" t="s">
        <v>602</v>
      </c>
      <c r="C12" s="64">
        <v>0.2</v>
      </c>
      <c r="D12" s="85"/>
      <c r="E12" s="85" t="s">
        <v>582</v>
      </c>
      <c r="F12" s="369" t="s">
        <v>603</v>
      </c>
    </row>
    <row r="13" s="364" customFormat="1" ht="33" customHeight="1" spans="1:6">
      <c r="A13" s="64">
        <v>11</v>
      </c>
      <c r="B13" s="85" t="s">
        <v>577</v>
      </c>
      <c r="C13" s="64">
        <v>3</v>
      </c>
      <c r="D13" s="85" t="s">
        <v>604</v>
      </c>
      <c r="E13" s="85" t="s">
        <v>582</v>
      </c>
      <c r="F13" s="85" t="s">
        <v>605</v>
      </c>
    </row>
    <row r="14" s="364" customFormat="1" ht="33" customHeight="1" spans="1:6">
      <c r="A14" s="64">
        <v>12</v>
      </c>
      <c r="B14" s="85" t="s">
        <v>606</v>
      </c>
      <c r="C14" s="64">
        <v>0.65</v>
      </c>
      <c r="D14" s="85"/>
      <c r="E14" s="85" t="s">
        <v>582</v>
      </c>
      <c r="F14" s="85" t="s">
        <v>607</v>
      </c>
    </row>
    <row r="15" s="365" customFormat="1" ht="33" customHeight="1" spans="1:6">
      <c r="A15" s="64">
        <v>13</v>
      </c>
      <c r="B15" s="85" t="s">
        <v>608</v>
      </c>
      <c r="C15" s="64">
        <v>20</v>
      </c>
      <c r="D15" s="85" t="s">
        <v>609</v>
      </c>
      <c r="E15" s="85" t="s">
        <v>582</v>
      </c>
      <c r="F15" s="85"/>
    </row>
    <row r="16" s="364" customFormat="1" ht="33" customHeight="1" spans="1:6">
      <c r="A16" s="371" t="s">
        <v>34</v>
      </c>
      <c r="B16" s="372"/>
      <c r="C16" s="371">
        <f>SUM(C3:C15)</f>
        <v>407.73</v>
      </c>
      <c r="D16" s="372"/>
      <c r="E16" s="372"/>
      <c r="F16" s="372"/>
    </row>
    <row r="17" s="44" customFormat="1" spans="1:5">
      <c r="A17" s="51"/>
      <c r="B17" s="373" t="s">
        <v>76</v>
      </c>
      <c r="C17" s="51" t="s">
        <v>77</v>
      </c>
      <c r="E17" s="44" t="s">
        <v>140</v>
      </c>
    </row>
  </sheetData>
  <mergeCells count="1">
    <mergeCell ref="A1:F1"/>
  </mergeCells>
  <pageMargins left="0.75" right="0.75" top="0.629861111111111" bottom="0.432638888888889" header="0.5" footer="0.5"/>
  <pageSetup paperSize="9" scale="9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3"/>
  <sheetViews>
    <sheetView workbookViewId="0">
      <selection activeCell="B1" sqref="A1:N62"/>
    </sheetView>
  </sheetViews>
  <sheetFormatPr defaultColWidth="9" defaultRowHeight="12.75"/>
  <cols>
    <col min="1" max="1" width="5.625" style="273" customWidth="1"/>
    <col min="2" max="2" width="10.625" style="274" customWidth="1"/>
    <col min="3" max="3" width="8.25" style="275" customWidth="1"/>
    <col min="4" max="4" width="12.875" style="274" customWidth="1"/>
    <col min="5" max="5" width="6.125" style="276" customWidth="1"/>
    <col min="6" max="6" width="7.875" style="277" customWidth="1"/>
    <col min="7" max="7" width="7.5" style="278" customWidth="1"/>
    <col min="8" max="8" width="5.375" style="274" customWidth="1"/>
    <col min="9" max="9" width="4.875" style="279" customWidth="1"/>
    <col min="10" max="10" width="9.25" style="280" customWidth="1"/>
    <col min="11" max="11" width="10.375" style="281" customWidth="1"/>
    <col min="12" max="12" width="7.875" style="282" customWidth="1"/>
    <col min="13" max="13" width="54.625" style="265" customWidth="1"/>
    <col min="14" max="14" width="18.875" style="283" customWidth="1"/>
    <col min="15" max="16384" width="9" style="265"/>
  </cols>
  <sheetData>
    <row r="1" s="264" customFormat="1" ht="33.95" customHeight="1" spans="1:14">
      <c r="A1" s="284"/>
      <c r="B1" s="285" t="s">
        <v>610</v>
      </c>
      <c r="C1" s="286"/>
      <c r="D1" s="286"/>
      <c r="E1" s="286"/>
      <c r="F1" s="286"/>
      <c r="G1" s="286"/>
      <c r="H1" s="286"/>
      <c r="I1" s="286"/>
      <c r="J1" s="331"/>
      <c r="K1" s="332"/>
      <c r="L1" s="333"/>
      <c r="M1" s="286"/>
      <c r="N1" s="286"/>
    </row>
    <row r="2" s="265" customFormat="1" ht="41.1" customHeight="1" spans="1:14">
      <c r="A2" s="287" t="s">
        <v>55</v>
      </c>
      <c r="B2" s="288" t="s">
        <v>611</v>
      </c>
      <c r="C2" s="289" t="s">
        <v>612</v>
      </c>
      <c r="D2" s="288" t="s">
        <v>613</v>
      </c>
      <c r="E2" s="290" t="s">
        <v>614</v>
      </c>
      <c r="F2" s="290"/>
      <c r="G2" s="288" t="s">
        <v>615</v>
      </c>
      <c r="H2" s="288"/>
      <c r="I2" s="334" t="s">
        <v>616</v>
      </c>
      <c r="J2" s="335" t="s">
        <v>617</v>
      </c>
      <c r="K2" s="336" t="s">
        <v>618</v>
      </c>
      <c r="L2" s="336" t="s">
        <v>619</v>
      </c>
      <c r="M2" s="288" t="s">
        <v>620</v>
      </c>
      <c r="N2" s="337" t="s">
        <v>621</v>
      </c>
    </row>
    <row r="3" s="266" customFormat="1" ht="62.1" customHeight="1" spans="1:14">
      <c r="A3" s="291" t="s">
        <v>622</v>
      </c>
      <c r="B3" s="292" t="s">
        <v>623</v>
      </c>
      <c r="C3" s="293">
        <f t="shared" ref="C3:C8" si="0">L3/70</f>
        <v>0.128571428571429</v>
      </c>
      <c r="D3" s="294" t="s">
        <v>624</v>
      </c>
      <c r="E3" s="295">
        <v>10</v>
      </c>
      <c r="F3" s="296" t="s">
        <v>625</v>
      </c>
      <c r="G3" s="297">
        <v>96000</v>
      </c>
      <c r="H3" s="298" t="s">
        <v>626</v>
      </c>
      <c r="I3" s="338">
        <v>0.9</v>
      </c>
      <c r="J3" s="339">
        <f>G3*I3</f>
        <v>86400</v>
      </c>
      <c r="K3" s="340">
        <f>J3*E3</f>
        <v>864000</v>
      </c>
      <c r="L3" s="295">
        <f t="shared" ref="L3:L6" si="1">K3/G3</f>
        <v>9</v>
      </c>
      <c r="M3" s="341" t="s">
        <v>627</v>
      </c>
      <c r="N3" s="342" t="s">
        <v>628</v>
      </c>
    </row>
    <row r="4" s="266" customFormat="1" ht="21.95" customHeight="1" spans="1:14">
      <c r="A4" s="299" t="s">
        <v>167</v>
      </c>
      <c r="B4" s="300"/>
      <c r="C4" s="293"/>
      <c r="D4" s="294"/>
      <c r="E4" s="295"/>
      <c r="F4" s="296"/>
      <c r="G4" s="297"/>
      <c r="H4" s="298"/>
      <c r="I4" s="338"/>
      <c r="J4" s="339"/>
      <c r="K4" s="340">
        <f>K3</f>
        <v>864000</v>
      </c>
      <c r="L4" s="295">
        <f>L3</f>
        <v>9</v>
      </c>
      <c r="M4" s="341"/>
      <c r="N4" s="343"/>
    </row>
    <row r="5" s="266" customFormat="1" ht="42" customHeight="1" spans="1:14">
      <c r="A5" s="299" t="s">
        <v>629</v>
      </c>
      <c r="B5" s="300" t="s">
        <v>630</v>
      </c>
      <c r="C5" s="293">
        <f t="shared" si="0"/>
        <v>0.0142857142857143</v>
      </c>
      <c r="D5" s="298" t="s">
        <v>631</v>
      </c>
      <c r="E5" s="295">
        <v>1</v>
      </c>
      <c r="F5" s="296" t="s">
        <v>632</v>
      </c>
      <c r="G5" s="297">
        <v>96000</v>
      </c>
      <c r="H5" s="298" t="s">
        <v>626</v>
      </c>
      <c r="I5" s="338">
        <v>1</v>
      </c>
      <c r="J5" s="339">
        <v>1</v>
      </c>
      <c r="K5" s="340">
        <f>J5*E5*G5*I5</f>
        <v>96000</v>
      </c>
      <c r="L5" s="295">
        <f t="shared" si="1"/>
        <v>1</v>
      </c>
      <c r="M5" s="341" t="s">
        <v>633</v>
      </c>
      <c r="N5" s="343" t="s">
        <v>628</v>
      </c>
    </row>
    <row r="6" s="266" customFormat="1" ht="42" customHeight="1" spans="1:14">
      <c r="A6" s="301"/>
      <c r="B6" s="301"/>
      <c r="C6" s="293">
        <f t="shared" si="0"/>
        <v>0.00714285714285714</v>
      </c>
      <c r="D6" s="298" t="s">
        <v>634</v>
      </c>
      <c r="E6" s="295">
        <v>0.5</v>
      </c>
      <c r="F6" s="296" t="s">
        <v>632</v>
      </c>
      <c r="G6" s="297">
        <v>96000</v>
      </c>
      <c r="H6" s="298" t="s">
        <v>626</v>
      </c>
      <c r="I6" s="338">
        <v>1</v>
      </c>
      <c r="J6" s="339">
        <v>1</v>
      </c>
      <c r="K6" s="340">
        <f>J6*E6*G6*I6</f>
        <v>48000</v>
      </c>
      <c r="L6" s="295">
        <f t="shared" si="1"/>
        <v>0.5</v>
      </c>
      <c r="M6" s="341" t="s">
        <v>635</v>
      </c>
      <c r="N6" s="343" t="s">
        <v>628</v>
      </c>
    </row>
    <row r="7" s="267" customFormat="1" ht="42" customHeight="1" spans="1:14">
      <c r="A7" s="301"/>
      <c r="B7" s="301"/>
      <c r="C7" s="293">
        <f t="shared" si="0"/>
        <v>0.00446428571428571</v>
      </c>
      <c r="D7" s="298" t="s">
        <v>636</v>
      </c>
      <c r="E7" s="297">
        <v>30000</v>
      </c>
      <c r="F7" s="296" t="s">
        <v>637</v>
      </c>
      <c r="G7" s="297">
        <v>1</v>
      </c>
      <c r="H7" s="298" t="s">
        <v>638</v>
      </c>
      <c r="I7" s="338">
        <v>1</v>
      </c>
      <c r="J7" s="339">
        <v>1</v>
      </c>
      <c r="K7" s="340">
        <f>E7*G7</f>
        <v>30000</v>
      </c>
      <c r="L7" s="295">
        <f>K7/G3</f>
        <v>0.3125</v>
      </c>
      <c r="M7" s="341" t="s">
        <v>639</v>
      </c>
      <c r="N7" s="344" t="s">
        <v>640</v>
      </c>
    </row>
    <row r="8" s="266" customFormat="1" ht="42" customHeight="1" spans="1:14">
      <c r="A8" s="302"/>
      <c r="B8" s="302"/>
      <c r="C8" s="293">
        <f t="shared" si="0"/>
        <v>0.00193452380952381</v>
      </c>
      <c r="D8" s="298" t="s">
        <v>636</v>
      </c>
      <c r="E8" s="297">
        <v>1000</v>
      </c>
      <c r="F8" s="296" t="s">
        <v>637</v>
      </c>
      <c r="G8" s="297">
        <v>13</v>
      </c>
      <c r="H8" s="298" t="s">
        <v>638</v>
      </c>
      <c r="I8" s="338">
        <v>1</v>
      </c>
      <c r="J8" s="339">
        <v>1</v>
      </c>
      <c r="K8" s="340">
        <f>E8*G8</f>
        <v>13000</v>
      </c>
      <c r="L8" s="295">
        <f>K8/G6</f>
        <v>0.135416666666667</v>
      </c>
      <c r="M8" s="341" t="s">
        <v>641</v>
      </c>
      <c r="N8" s="344" t="s">
        <v>642</v>
      </c>
    </row>
    <row r="9" s="266" customFormat="1" ht="20.1" customHeight="1" spans="1:14">
      <c r="A9" s="291" t="s">
        <v>167</v>
      </c>
      <c r="B9" s="291"/>
      <c r="C9" s="293"/>
      <c r="D9" s="291"/>
      <c r="E9" s="291"/>
      <c r="F9" s="291"/>
      <c r="G9" s="291"/>
      <c r="H9" s="291"/>
      <c r="I9" s="291"/>
      <c r="J9" s="291"/>
      <c r="K9" s="340">
        <f>SUM(K5:K8)</f>
        <v>187000</v>
      </c>
      <c r="L9" s="295">
        <f>SUM(L5:L8)</f>
        <v>1.94791666666667</v>
      </c>
      <c r="M9" s="341"/>
      <c r="N9" s="344"/>
    </row>
    <row r="10" s="266" customFormat="1" ht="35.1" customHeight="1" spans="1:14">
      <c r="A10" s="303">
        <v>3</v>
      </c>
      <c r="B10" s="304" t="s">
        <v>643</v>
      </c>
      <c r="C10" s="293">
        <f t="shared" ref="C10:C12" si="2">L10/70</f>
        <v>0.000562114285714286</v>
      </c>
      <c r="D10" s="305" t="s">
        <v>644</v>
      </c>
      <c r="E10" s="306">
        <v>4</v>
      </c>
      <c r="F10" s="307" t="s">
        <v>632</v>
      </c>
      <c r="G10" s="306">
        <f>G6*1.093%</f>
        <v>1049.28</v>
      </c>
      <c r="H10" s="305" t="s">
        <v>645</v>
      </c>
      <c r="I10" s="345">
        <v>0.9</v>
      </c>
      <c r="J10" s="339">
        <v>1</v>
      </c>
      <c r="K10" s="340">
        <f t="shared" ref="K10:K12" si="3">E10*G10*I10*J10</f>
        <v>3777.408</v>
      </c>
      <c r="L10" s="295">
        <f>K10/G3</f>
        <v>0.039348</v>
      </c>
      <c r="M10" s="346" t="s">
        <v>646</v>
      </c>
      <c r="N10" s="347" t="s">
        <v>647</v>
      </c>
    </row>
    <row r="11" s="266" customFormat="1" ht="35.1" customHeight="1" spans="1:14">
      <c r="A11" s="303"/>
      <c r="B11" s="304"/>
      <c r="C11" s="293">
        <f t="shared" si="2"/>
        <v>0.00518303571428571</v>
      </c>
      <c r="D11" s="298" t="s">
        <v>648</v>
      </c>
      <c r="E11" s="297">
        <v>9</v>
      </c>
      <c r="F11" s="296" t="s">
        <v>632</v>
      </c>
      <c r="G11" s="297">
        <v>4300</v>
      </c>
      <c r="H11" s="298" t="s">
        <v>645</v>
      </c>
      <c r="I11" s="338">
        <v>0.9</v>
      </c>
      <c r="J11" s="339">
        <v>1</v>
      </c>
      <c r="K11" s="340">
        <f t="shared" si="3"/>
        <v>34830</v>
      </c>
      <c r="L11" s="295">
        <f>K11/G3</f>
        <v>0.3628125</v>
      </c>
      <c r="M11" s="346" t="s">
        <v>649</v>
      </c>
      <c r="N11" s="347" t="s">
        <v>650</v>
      </c>
    </row>
    <row r="12" s="266" customFormat="1" ht="35.1" customHeight="1" spans="1:14">
      <c r="A12" s="308"/>
      <c r="B12" s="309"/>
      <c r="C12" s="293">
        <f t="shared" si="2"/>
        <v>0.0861428571428571</v>
      </c>
      <c r="D12" s="298" t="s">
        <v>643</v>
      </c>
      <c r="E12" s="297">
        <v>6</v>
      </c>
      <c r="F12" s="296" t="s">
        <v>651</v>
      </c>
      <c r="G12" s="297">
        <v>26800</v>
      </c>
      <c r="H12" s="298" t="s">
        <v>645</v>
      </c>
      <c r="I12" s="338">
        <v>0.9</v>
      </c>
      <c r="J12" s="339">
        <v>4</v>
      </c>
      <c r="K12" s="340">
        <f t="shared" si="3"/>
        <v>578880</v>
      </c>
      <c r="L12" s="295">
        <f>K12/G3</f>
        <v>6.03</v>
      </c>
      <c r="M12" s="341" t="s">
        <v>652</v>
      </c>
      <c r="N12" s="347" t="s">
        <v>653</v>
      </c>
    </row>
    <row r="13" s="266" customFormat="1" ht="18.95" customHeight="1" spans="1:14">
      <c r="A13" s="291" t="s">
        <v>167</v>
      </c>
      <c r="B13" s="291"/>
      <c r="C13" s="293"/>
      <c r="D13" s="291"/>
      <c r="E13" s="291"/>
      <c r="F13" s="291"/>
      <c r="G13" s="291"/>
      <c r="H13" s="291"/>
      <c r="I13" s="291"/>
      <c r="J13" s="291"/>
      <c r="K13" s="340">
        <f>SUM(K10:K12)</f>
        <v>617487.408</v>
      </c>
      <c r="L13" s="295">
        <f>SUM(L10:L12)</f>
        <v>6.4321605</v>
      </c>
      <c r="M13" s="341"/>
      <c r="N13" s="347"/>
    </row>
    <row r="14" s="266" customFormat="1" ht="50.1" customHeight="1" spans="1:14">
      <c r="A14" s="310">
        <v>4</v>
      </c>
      <c r="B14" s="311" t="s">
        <v>654</v>
      </c>
      <c r="C14" s="312">
        <f t="shared" ref="C14:C16" si="4">L14/70</f>
        <v>0.0128571428571429</v>
      </c>
      <c r="D14" s="313" t="s">
        <v>655</v>
      </c>
      <c r="E14" s="314">
        <v>100</v>
      </c>
      <c r="F14" s="315" t="s">
        <v>656</v>
      </c>
      <c r="G14" s="316">
        <f>G3*1%</f>
        <v>960</v>
      </c>
      <c r="H14" s="313" t="s">
        <v>645</v>
      </c>
      <c r="I14" s="348">
        <v>0.9</v>
      </c>
      <c r="J14" s="349">
        <v>1</v>
      </c>
      <c r="K14" s="350">
        <f t="shared" ref="K14:K16" si="5">E14*G14*I14*J14</f>
        <v>86400</v>
      </c>
      <c r="L14" s="351">
        <f>K14/G3</f>
        <v>0.9</v>
      </c>
      <c r="M14" s="352" t="s">
        <v>657</v>
      </c>
      <c r="N14" s="353" t="s">
        <v>658</v>
      </c>
    </row>
    <row r="15" s="266" customFormat="1" ht="50.1" customHeight="1" spans="1:14">
      <c r="A15" s="310"/>
      <c r="B15" s="311"/>
      <c r="C15" s="312">
        <f t="shared" si="4"/>
        <v>0.0485714285714286</v>
      </c>
      <c r="D15" s="313" t="s">
        <v>659</v>
      </c>
      <c r="E15" s="314">
        <v>50</v>
      </c>
      <c r="F15" s="315" t="s">
        <v>656</v>
      </c>
      <c r="G15" s="314">
        <f>G6*0.01</f>
        <v>960</v>
      </c>
      <c r="H15" s="313" t="s">
        <v>645</v>
      </c>
      <c r="I15" s="348">
        <v>0.85</v>
      </c>
      <c r="J15" s="349">
        <v>8</v>
      </c>
      <c r="K15" s="350">
        <f t="shared" si="5"/>
        <v>326400</v>
      </c>
      <c r="L15" s="351">
        <f>K15/G3</f>
        <v>3.4</v>
      </c>
      <c r="M15" s="352" t="s">
        <v>660</v>
      </c>
      <c r="N15" s="353" t="s">
        <v>658</v>
      </c>
    </row>
    <row r="16" s="266" customFormat="1" ht="50.1" customHeight="1" spans="1:14">
      <c r="A16" s="310"/>
      <c r="B16" s="311"/>
      <c r="C16" s="312">
        <f t="shared" si="4"/>
        <v>0.0145714285714286</v>
      </c>
      <c r="D16" s="313" t="s">
        <v>661</v>
      </c>
      <c r="E16" s="314">
        <v>30</v>
      </c>
      <c r="F16" s="315" t="s">
        <v>656</v>
      </c>
      <c r="G16" s="314">
        <f>G6*0.01</f>
        <v>960</v>
      </c>
      <c r="H16" s="313" t="s">
        <v>645</v>
      </c>
      <c r="I16" s="348">
        <v>0.85</v>
      </c>
      <c r="J16" s="349">
        <v>4</v>
      </c>
      <c r="K16" s="350">
        <f t="shared" si="5"/>
        <v>97920</v>
      </c>
      <c r="L16" s="351">
        <f>K16/G3</f>
        <v>1.02</v>
      </c>
      <c r="M16" s="352" t="s">
        <v>662</v>
      </c>
      <c r="N16" s="353" t="s">
        <v>658</v>
      </c>
    </row>
    <row r="17" s="266" customFormat="1" ht="21" customHeight="1" spans="1:14">
      <c r="A17" s="317" t="s">
        <v>167</v>
      </c>
      <c r="B17" s="317"/>
      <c r="C17" s="312"/>
      <c r="D17" s="317"/>
      <c r="E17" s="317"/>
      <c r="F17" s="317"/>
      <c r="G17" s="317"/>
      <c r="H17" s="317"/>
      <c r="I17" s="317"/>
      <c r="J17" s="317"/>
      <c r="K17" s="350">
        <f>SUM(K14:K16)</f>
        <v>510720</v>
      </c>
      <c r="L17" s="351">
        <f>SUM(L14:L16)</f>
        <v>5.32</v>
      </c>
      <c r="M17" s="352"/>
      <c r="N17" s="353"/>
    </row>
    <row r="18" s="266" customFormat="1" ht="50.1" customHeight="1" spans="1:14">
      <c r="A18" s="310">
        <v>5</v>
      </c>
      <c r="B18" s="311" t="s">
        <v>663</v>
      </c>
      <c r="C18" s="312">
        <f t="shared" ref="C18:C22" si="6">L18/70</f>
        <v>0.0192857142857143</v>
      </c>
      <c r="D18" s="313" t="s">
        <v>664</v>
      </c>
      <c r="E18" s="314">
        <v>150</v>
      </c>
      <c r="F18" s="315" t="s">
        <v>656</v>
      </c>
      <c r="G18" s="314">
        <f>G3*1%</f>
        <v>960</v>
      </c>
      <c r="H18" s="313" t="s">
        <v>645</v>
      </c>
      <c r="I18" s="348">
        <v>0.9</v>
      </c>
      <c r="J18" s="349">
        <v>1</v>
      </c>
      <c r="K18" s="350">
        <f t="shared" ref="K18:K22" si="7">E18*G18*I18*J18</f>
        <v>129600</v>
      </c>
      <c r="L18" s="351">
        <f>K18/G3</f>
        <v>1.35</v>
      </c>
      <c r="M18" s="352" t="s">
        <v>665</v>
      </c>
      <c r="N18" s="353" t="s">
        <v>658</v>
      </c>
    </row>
    <row r="19" s="266" customFormat="1" ht="50.1" customHeight="1" spans="1:14">
      <c r="A19" s="310"/>
      <c r="B19" s="311"/>
      <c r="C19" s="312">
        <f t="shared" si="6"/>
        <v>0.0128571428571429</v>
      </c>
      <c r="D19" s="313" t="s">
        <v>666</v>
      </c>
      <c r="E19" s="314">
        <v>50</v>
      </c>
      <c r="F19" s="315" t="s">
        <v>656</v>
      </c>
      <c r="G19" s="314">
        <f>G5*1%</f>
        <v>960</v>
      </c>
      <c r="H19" s="313" t="s">
        <v>645</v>
      </c>
      <c r="I19" s="348">
        <v>0.9</v>
      </c>
      <c r="J19" s="349">
        <v>2</v>
      </c>
      <c r="K19" s="350">
        <f t="shared" si="7"/>
        <v>86400</v>
      </c>
      <c r="L19" s="351">
        <f>K19/G3</f>
        <v>0.9</v>
      </c>
      <c r="M19" s="352" t="s">
        <v>667</v>
      </c>
      <c r="N19" s="353" t="s">
        <v>658</v>
      </c>
    </row>
    <row r="20" s="266" customFormat="1" ht="41.1" customHeight="1" spans="1:14">
      <c r="A20" s="310"/>
      <c r="B20" s="311"/>
      <c r="C20" s="312">
        <f t="shared" si="6"/>
        <v>0.0128571428571429</v>
      </c>
      <c r="D20" s="313" t="s">
        <v>668</v>
      </c>
      <c r="E20" s="314">
        <v>50</v>
      </c>
      <c r="F20" s="315" t="s">
        <v>656</v>
      </c>
      <c r="G20" s="314">
        <f>G6*1%</f>
        <v>960</v>
      </c>
      <c r="H20" s="313" t="s">
        <v>645</v>
      </c>
      <c r="I20" s="348">
        <v>0.9</v>
      </c>
      <c r="J20" s="349">
        <v>2</v>
      </c>
      <c r="K20" s="350">
        <f t="shared" si="7"/>
        <v>86400</v>
      </c>
      <c r="L20" s="351">
        <f>K20/G3</f>
        <v>0.9</v>
      </c>
      <c r="M20" s="352" t="s">
        <v>669</v>
      </c>
      <c r="N20" s="353" t="s">
        <v>658</v>
      </c>
    </row>
    <row r="21" s="266" customFormat="1" ht="51" customHeight="1" spans="1:14">
      <c r="A21" s="310"/>
      <c r="B21" s="311"/>
      <c r="C21" s="312">
        <f t="shared" si="6"/>
        <v>0.0128571428571429</v>
      </c>
      <c r="D21" s="313" t="s">
        <v>670</v>
      </c>
      <c r="E21" s="314">
        <v>100</v>
      </c>
      <c r="F21" s="315" t="s">
        <v>656</v>
      </c>
      <c r="G21" s="314">
        <f>G6*1%</f>
        <v>960</v>
      </c>
      <c r="H21" s="313" t="s">
        <v>645</v>
      </c>
      <c r="I21" s="348">
        <v>0.9</v>
      </c>
      <c r="J21" s="349">
        <v>1</v>
      </c>
      <c r="K21" s="350">
        <f t="shared" si="7"/>
        <v>86400</v>
      </c>
      <c r="L21" s="351">
        <f>K21/G3</f>
        <v>0.9</v>
      </c>
      <c r="M21" s="352" t="s">
        <v>671</v>
      </c>
      <c r="N21" s="353" t="s">
        <v>658</v>
      </c>
    </row>
    <row r="22" s="266" customFormat="1" ht="39.95" customHeight="1" spans="1:14">
      <c r="A22" s="310"/>
      <c r="B22" s="311"/>
      <c r="C22" s="312">
        <f t="shared" si="6"/>
        <v>0.0128571428571429</v>
      </c>
      <c r="D22" s="313" t="s">
        <v>672</v>
      </c>
      <c r="E22" s="314">
        <v>100</v>
      </c>
      <c r="F22" s="315" t="s">
        <v>656</v>
      </c>
      <c r="G22" s="314">
        <f>G6*1%</f>
        <v>960</v>
      </c>
      <c r="H22" s="313" t="s">
        <v>645</v>
      </c>
      <c r="I22" s="348">
        <v>0.9</v>
      </c>
      <c r="J22" s="349">
        <v>1</v>
      </c>
      <c r="K22" s="350">
        <f t="shared" si="7"/>
        <v>86400</v>
      </c>
      <c r="L22" s="351">
        <f>K22/G3</f>
        <v>0.9</v>
      </c>
      <c r="M22" s="352" t="s">
        <v>673</v>
      </c>
      <c r="N22" s="353" t="s">
        <v>658</v>
      </c>
    </row>
    <row r="23" s="266" customFormat="1" ht="18" customHeight="1" spans="1:14">
      <c r="A23" s="317" t="s">
        <v>167</v>
      </c>
      <c r="B23" s="317"/>
      <c r="C23" s="312"/>
      <c r="D23" s="317"/>
      <c r="E23" s="317"/>
      <c r="F23" s="317"/>
      <c r="G23" s="317"/>
      <c r="H23" s="317"/>
      <c r="I23" s="317"/>
      <c r="J23" s="317"/>
      <c r="K23" s="350">
        <f>SUM(K18:K22)</f>
        <v>475200</v>
      </c>
      <c r="L23" s="351">
        <f>SUM(L18:L22)</f>
        <v>4.95</v>
      </c>
      <c r="M23" s="352"/>
      <c r="N23" s="353"/>
    </row>
    <row r="24" s="266" customFormat="1" ht="33" customHeight="1" spans="1:14">
      <c r="A24" s="318">
        <v>6</v>
      </c>
      <c r="B24" s="319" t="s">
        <v>674</v>
      </c>
      <c r="C24" s="312">
        <f t="shared" ref="C24:C27" si="8">L24/70</f>
        <v>0.0236485714285714</v>
      </c>
      <c r="D24" s="313" t="s">
        <v>675</v>
      </c>
      <c r="E24" s="314">
        <v>20</v>
      </c>
      <c r="F24" s="315" t="s">
        <v>656</v>
      </c>
      <c r="G24" s="314">
        <f>G3*13.35%</f>
        <v>12816</v>
      </c>
      <c r="H24" s="313" t="s">
        <v>645</v>
      </c>
      <c r="I24" s="348">
        <v>0.62</v>
      </c>
      <c r="J24" s="349">
        <v>1</v>
      </c>
      <c r="K24" s="350">
        <f t="shared" ref="K24:K27" si="9">E24*G24*I24*J24</f>
        <v>158918.4</v>
      </c>
      <c r="L24" s="351">
        <f>K24/G3</f>
        <v>1.6554</v>
      </c>
      <c r="M24" s="352" t="s">
        <v>676</v>
      </c>
      <c r="N24" s="353" t="s">
        <v>677</v>
      </c>
    </row>
    <row r="25" s="266" customFormat="1" ht="27.95" customHeight="1" spans="1:14">
      <c r="A25" s="320"/>
      <c r="B25" s="321"/>
      <c r="C25" s="312">
        <f t="shared" si="8"/>
        <v>0.0354728571428571</v>
      </c>
      <c r="D25" s="313" t="s">
        <v>678</v>
      </c>
      <c r="E25" s="314">
        <v>30</v>
      </c>
      <c r="F25" s="315" t="s">
        <v>656</v>
      </c>
      <c r="G25" s="314">
        <f>G5*13.35%</f>
        <v>12816</v>
      </c>
      <c r="H25" s="313" t="s">
        <v>645</v>
      </c>
      <c r="I25" s="348">
        <v>0.62</v>
      </c>
      <c r="J25" s="349">
        <v>1</v>
      </c>
      <c r="K25" s="350">
        <f t="shared" si="9"/>
        <v>238377.6</v>
      </c>
      <c r="L25" s="351">
        <f>K25/G3</f>
        <v>2.4831</v>
      </c>
      <c r="M25" s="352" t="s">
        <v>679</v>
      </c>
      <c r="N25" s="353" t="s">
        <v>677</v>
      </c>
    </row>
    <row r="26" s="266" customFormat="1" ht="60" customHeight="1" spans="1:14">
      <c r="A26" s="320"/>
      <c r="B26" s="321"/>
      <c r="C26" s="312">
        <f t="shared" si="8"/>
        <v>0.177364285714286</v>
      </c>
      <c r="D26" s="313" t="s">
        <v>680</v>
      </c>
      <c r="E26" s="314">
        <v>150</v>
      </c>
      <c r="F26" s="315" t="s">
        <v>656</v>
      </c>
      <c r="G26" s="314">
        <f>G6*13.35%</f>
        <v>12816</v>
      </c>
      <c r="H26" s="313" t="s">
        <v>645</v>
      </c>
      <c r="I26" s="348">
        <v>0.62</v>
      </c>
      <c r="J26" s="349">
        <v>1</v>
      </c>
      <c r="K26" s="350">
        <f t="shared" si="9"/>
        <v>1191888</v>
      </c>
      <c r="L26" s="351">
        <f>K26/G3</f>
        <v>12.4155</v>
      </c>
      <c r="M26" s="354" t="s">
        <v>681</v>
      </c>
      <c r="N26" s="353" t="s">
        <v>677</v>
      </c>
    </row>
    <row r="27" s="266" customFormat="1" ht="30.95" customHeight="1" spans="1:14">
      <c r="A27" s="322"/>
      <c r="B27" s="323"/>
      <c r="C27" s="312">
        <f t="shared" si="8"/>
        <v>0.0236485714285714</v>
      </c>
      <c r="D27" s="313" t="s">
        <v>682</v>
      </c>
      <c r="E27" s="314">
        <v>20</v>
      </c>
      <c r="F27" s="315" t="s">
        <v>656</v>
      </c>
      <c r="G27" s="314">
        <f>G3*13.35%</f>
        <v>12816</v>
      </c>
      <c r="H27" s="313" t="s">
        <v>645</v>
      </c>
      <c r="I27" s="348">
        <v>0.62</v>
      </c>
      <c r="J27" s="349">
        <v>1</v>
      </c>
      <c r="K27" s="350">
        <f t="shared" si="9"/>
        <v>158918.4</v>
      </c>
      <c r="L27" s="351">
        <f>K27/G3</f>
        <v>1.6554</v>
      </c>
      <c r="M27" s="352" t="s">
        <v>683</v>
      </c>
      <c r="N27" s="353" t="s">
        <v>677</v>
      </c>
    </row>
    <row r="28" s="266" customFormat="1" ht="18.95" customHeight="1" spans="1:14">
      <c r="A28" s="317" t="s">
        <v>167</v>
      </c>
      <c r="B28" s="317"/>
      <c r="C28" s="312"/>
      <c r="D28" s="317"/>
      <c r="E28" s="317"/>
      <c r="F28" s="317"/>
      <c r="G28" s="317"/>
      <c r="H28" s="317"/>
      <c r="I28" s="317"/>
      <c r="J28" s="317"/>
      <c r="K28" s="350">
        <f>SUM(K24:K27)</f>
        <v>1748102.4</v>
      </c>
      <c r="L28" s="351">
        <f>SUM(L24:L27)</f>
        <v>18.2094</v>
      </c>
      <c r="M28" s="352"/>
      <c r="N28" s="353"/>
    </row>
    <row r="29" s="266" customFormat="1" ht="30" customHeight="1" spans="1:14">
      <c r="A29" s="318">
        <v>7</v>
      </c>
      <c r="B29" s="319" t="s">
        <v>684</v>
      </c>
      <c r="C29" s="312">
        <f t="shared" ref="C29:C32" si="10">L29/70</f>
        <v>0.0745535714285714</v>
      </c>
      <c r="D29" s="313" t="s">
        <v>685</v>
      </c>
      <c r="E29" s="314">
        <v>10</v>
      </c>
      <c r="F29" s="315" t="s">
        <v>632</v>
      </c>
      <c r="G29" s="314">
        <v>50100</v>
      </c>
      <c r="H29" s="313" t="s">
        <v>645</v>
      </c>
      <c r="I29" s="348">
        <v>1</v>
      </c>
      <c r="J29" s="349">
        <v>1</v>
      </c>
      <c r="K29" s="350">
        <f t="shared" ref="K29:K32" si="11">E29*G29*I29*J29</f>
        <v>501000</v>
      </c>
      <c r="L29" s="351">
        <f>K29/G3</f>
        <v>5.21875</v>
      </c>
      <c r="M29" s="352" t="s">
        <v>686</v>
      </c>
      <c r="N29" s="353" t="s">
        <v>687</v>
      </c>
    </row>
    <row r="30" s="268" customFormat="1" ht="30.95" customHeight="1" spans="1:14">
      <c r="A30" s="320"/>
      <c r="B30" s="321"/>
      <c r="C30" s="312">
        <f t="shared" si="10"/>
        <v>0.196805714285714</v>
      </c>
      <c r="D30" s="313" t="s">
        <v>688</v>
      </c>
      <c r="E30" s="314">
        <v>50</v>
      </c>
      <c r="F30" s="315" t="s">
        <v>656</v>
      </c>
      <c r="G30" s="314">
        <f>G3*11.11%</f>
        <v>10665.6</v>
      </c>
      <c r="H30" s="313" t="s">
        <v>645</v>
      </c>
      <c r="I30" s="348">
        <v>0.62</v>
      </c>
      <c r="J30" s="349">
        <v>4</v>
      </c>
      <c r="K30" s="350">
        <f t="shared" si="11"/>
        <v>1322534.4</v>
      </c>
      <c r="L30" s="351">
        <f>K30/G3</f>
        <v>13.7764</v>
      </c>
      <c r="M30" s="352" t="s">
        <v>689</v>
      </c>
      <c r="N30" s="353" t="s">
        <v>690</v>
      </c>
    </row>
    <row r="31" s="268" customFormat="1" ht="33.95" customHeight="1" spans="1:14">
      <c r="A31" s="320"/>
      <c r="B31" s="321"/>
      <c r="C31" s="312">
        <f t="shared" si="10"/>
        <v>0.236166857142857</v>
      </c>
      <c r="D31" s="313" t="s">
        <v>688</v>
      </c>
      <c r="E31" s="314">
        <v>60</v>
      </c>
      <c r="F31" s="315" t="s">
        <v>656</v>
      </c>
      <c r="G31" s="314">
        <f>G3*11.11%</f>
        <v>10665.6</v>
      </c>
      <c r="H31" s="313" t="s">
        <v>645</v>
      </c>
      <c r="I31" s="348">
        <v>0.62</v>
      </c>
      <c r="J31" s="349">
        <v>4</v>
      </c>
      <c r="K31" s="350">
        <f t="shared" si="11"/>
        <v>1587041.28</v>
      </c>
      <c r="L31" s="351">
        <f>K31/G3</f>
        <v>16.53168</v>
      </c>
      <c r="M31" s="352" t="s">
        <v>691</v>
      </c>
      <c r="N31" s="353" t="s">
        <v>692</v>
      </c>
    </row>
    <row r="32" s="266" customFormat="1" ht="60.95" customHeight="1" spans="1:14">
      <c r="A32" s="320"/>
      <c r="B32" s="323"/>
      <c r="C32" s="312">
        <f t="shared" si="10"/>
        <v>0.147604285714286</v>
      </c>
      <c r="D32" s="313" t="s">
        <v>693</v>
      </c>
      <c r="E32" s="314">
        <v>150</v>
      </c>
      <c r="F32" s="315" t="s">
        <v>656</v>
      </c>
      <c r="G32" s="314">
        <f>G3*11.11%</f>
        <v>10665.6</v>
      </c>
      <c r="H32" s="313" t="s">
        <v>645</v>
      </c>
      <c r="I32" s="348">
        <v>0.62</v>
      </c>
      <c r="J32" s="349">
        <v>1</v>
      </c>
      <c r="K32" s="350">
        <f t="shared" si="11"/>
        <v>991900.8</v>
      </c>
      <c r="L32" s="351">
        <f>K32/G3</f>
        <v>10.3323</v>
      </c>
      <c r="M32" s="352" t="s">
        <v>694</v>
      </c>
      <c r="N32" s="353" t="s">
        <v>695</v>
      </c>
    </row>
    <row r="33" s="266" customFormat="1" ht="18" customHeight="1" spans="1:14">
      <c r="A33" s="320"/>
      <c r="B33" s="317" t="s">
        <v>167</v>
      </c>
      <c r="C33" s="312"/>
      <c r="D33" s="317"/>
      <c r="E33" s="317"/>
      <c r="F33" s="317"/>
      <c r="G33" s="317"/>
      <c r="H33" s="317"/>
      <c r="I33" s="317"/>
      <c r="J33" s="317"/>
      <c r="K33" s="350">
        <f>SUM(K29:K32)</f>
        <v>4402476.48</v>
      </c>
      <c r="L33" s="351">
        <f>SUM(L29:L32)</f>
        <v>45.85913</v>
      </c>
      <c r="M33" s="352"/>
      <c r="N33" s="353"/>
    </row>
    <row r="34" s="266" customFormat="1" ht="44.1" customHeight="1" spans="1:14">
      <c r="A34" s="320"/>
      <c r="B34" s="319" t="s">
        <v>696</v>
      </c>
      <c r="C34" s="312">
        <f t="shared" ref="C34:C37" si="12">L34/70</f>
        <v>0.126785714285714</v>
      </c>
      <c r="D34" s="313" t="s">
        <v>685</v>
      </c>
      <c r="E34" s="314">
        <v>20</v>
      </c>
      <c r="F34" s="315" t="s">
        <v>632</v>
      </c>
      <c r="G34" s="314">
        <v>42600</v>
      </c>
      <c r="H34" s="313" t="s">
        <v>645</v>
      </c>
      <c r="I34" s="348">
        <v>1</v>
      </c>
      <c r="J34" s="349">
        <v>1</v>
      </c>
      <c r="K34" s="350">
        <f t="shared" ref="K34:K37" si="13">E34*G34*I34*J34</f>
        <v>852000</v>
      </c>
      <c r="L34" s="351">
        <f>K34/G3</f>
        <v>8.875</v>
      </c>
      <c r="M34" s="352" t="s">
        <v>697</v>
      </c>
      <c r="N34" s="353" t="s">
        <v>698</v>
      </c>
    </row>
    <row r="35" s="268" customFormat="1" ht="35.1" customHeight="1" spans="1:14">
      <c r="A35" s="320"/>
      <c r="B35" s="321"/>
      <c r="C35" s="312">
        <f t="shared" si="12"/>
        <v>0.07688</v>
      </c>
      <c r="D35" s="313" t="s">
        <v>688</v>
      </c>
      <c r="E35" s="314">
        <v>50</v>
      </c>
      <c r="F35" s="315" t="s">
        <v>656</v>
      </c>
      <c r="G35" s="314">
        <f>G3*4.34%</f>
        <v>4166.4</v>
      </c>
      <c r="H35" s="313" t="s">
        <v>645</v>
      </c>
      <c r="I35" s="348">
        <v>0.62</v>
      </c>
      <c r="J35" s="349">
        <v>4</v>
      </c>
      <c r="K35" s="350">
        <f t="shared" si="13"/>
        <v>516633.6</v>
      </c>
      <c r="L35" s="351">
        <f>K35/G3</f>
        <v>5.3816</v>
      </c>
      <c r="M35" s="352" t="s">
        <v>699</v>
      </c>
      <c r="N35" s="353" t="s">
        <v>700</v>
      </c>
    </row>
    <row r="36" s="268" customFormat="1" ht="33.95" customHeight="1" spans="1:14">
      <c r="A36" s="320"/>
      <c r="B36" s="321"/>
      <c r="C36" s="312">
        <f t="shared" si="12"/>
        <v>0.092256</v>
      </c>
      <c r="D36" s="313" t="s">
        <v>688</v>
      </c>
      <c r="E36" s="314">
        <v>60</v>
      </c>
      <c r="F36" s="315" t="s">
        <v>656</v>
      </c>
      <c r="G36" s="314">
        <f>G3*4.34%</f>
        <v>4166.4</v>
      </c>
      <c r="H36" s="313" t="s">
        <v>645</v>
      </c>
      <c r="I36" s="348">
        <v>0.62</v>
      </c>
      <c r="J36" s="349">
        <v>4</v>
      </c>
      <c r="K36" s="350">
        <f t="shared" si="13"/>
        <v>619960.32</v>
      </c>
      <c r="L36" s="351">
        <f>K36/G3</f>
        <v>6.45792</v>
      </c>
      <c r="M36" s="352" t="s">
        <v>701</v>
      </c>
      <c r="N36" s="353" t="s">
        <v>702</v>
      </c>
    </row>
    <row r="37" s="266" customFormat="1" ht="63.95" customHeight="1" spans="1:14">
      <c r="A37" s="320"/>
      <c r="B37" s="321"/>
      <c r="C37" s="312">
        <f t="shared" si="12"/>
        <v>0.05766</v>
      </c>
      <c r="D37" s="313" t="s">
        <v>693</v>
      </c>
      <c r="E37" s="314">
        <v>150</v>
      </c>
      <c r="F37" s="315" t="s">
        <v>656</v>
      </c>
      <c r="G37" s="314">
        <f>G6*4.34%</f>
        <v>4166.4</v>
      </c>
      <c r="H37" s="313" t="s">
        <v>645</v>
      </c>
      <c r="I37" s="348">
        <v>0.62</v>
      </c>
      <c r="J37" s="349">
        <v>1</v>
      </c>
      <c r="K37" s="350">
        <f t="shared" si="13"/>
        <v>387475.2</v>
      </c>
      <c r="L37" s="351">
        <f>K37/G3</f>
        <v>4.0362</v>
      </c>
      <c r="M37" s="352" t="s">
        <v>703</v>
      </c>
      <c r="N37" s="353" t="s">
        <v>704</v>
      </c>
    </row>
    <row r="38" s="266" customFormat="1" ht="18" customHeight="1" spans="1:14">
      <c r="A38" s="324" t="s">
        <v>167</v>
      </c>
      <c r="B38" s="324"/>
      <c r="C38" s="312"/>
      <c r="D38" s="317"/>
      <c r="E38" s="317"/>
      <c r="F38" s="317"/>
      <c r="G38" s="317"/>
      <c r="H38" s="317"/>
      <c r="I38" s="317"/>
      <c r="J38" s="317"/>
      <c r="K38" s="350">
        <f>SUM(K34:K37)</f>
        <v>2376069.12</v>
      </c>
      <c r="L38" s="351">
        <f>SUM(L34:L37)</f>
        <v>24.75072</v>
      </c>
      <c r="M38" s="352"/>
      <c r="N38" s="353"/>
    </row>
    <row r="39" s="269" customFormat="1" ht="66.95" customHeight="1" spans="1:14">
      <c r="A39" s="322">
        <v>8</v>
      </c>
      <c r="B39" s="321" t="s">
        <v>705</v>
      </c>
      <c r="C39" s="312">
        <f t="shared" ref="C39:C41" si="14">L39/70</f>
        <v>0.00114285714285714</v>
      </c>
      <c r="D39" s="313" t="s">
        <v>706</v>
      </c>
      <c r="E39" s="314">
        <v>20</v>
      </c>
      <c r="F39" s="315" t="s">
        <v>632</v>
      </c>
      <c r="G39" s="314">
        <f>G3*4/1000</f>
        <v>384</v>
      </c>
      <c r="H39" s="313" t="s">
        <v>645</v>
      </c>
      <c r="I39" s="348">
        <v>1</v>
      </c>
      <c r="J39" s="349">
        <v>1</v>
      </c>
      <c r="K39" s="350">
        <f t="shared" ref="K39:K41" si="15">E39*G39*I39*J39</f>
        <v>7680</v>
      </c>
      <c r="L39" s="351">
        <f>K39/G3</f>
        <v>0.08</v>
      </c>
      <c r="M39" s="355" t="s">
        <v>707</v>
      </c>
      <c r="N39" s="353" t="s">
        <v>708</v>
      </c>
    </row>
    <row r="40" s="270" customFormat="1" ht="60.95" customHeight="1" spans="1:14">
      <c r="A40" s="310"/>
      <c r="B40" s="321"/>
      <c r="C40" s="312">
        <f t="shared" si="14"/>
        <v>0.00914285714285714</v>
      </c>
      <c r="D40" s="313" t="s">
        <v>688</v>
      </c>
      <c r="E40" s="314">
        <v>50</v>
      </c>
      <c r="F40" s="315" t="s">
        <v>656</v>
      </c>
      <c r="G40" s="314">
        <f>G3*4/1000</f>
        <v>384</v>
      </c>
      <c r="H40" s="313" t="s">
        <v>645</v>
      </c>
      <c r="I40" s="348">
        <v>0.8</v>
      </c>
      <c r="J40" s="349">
        <v>4</v>
      </c>
      <c r="K40" s="350">
        <f t="shared" si="15"/>
        <v>61440</v>
      </c>
      <c r="L40" s="351">
        <f>K40/G3</f>
        <v>0.64</v>
      </c>
      <c r="M40" s="352" t="s">
        <v>709</v>
      </c>
      <c r="N40" s="353" t="s">
        <v>708</v>
      </c>
    </row>
    <row r="41" s="271" customFormat="1" ht="54" customHeight="1" spans="1:14">
      <c r="A41" s="310"/>
      <c r="B41" s="323"/>
      <c r="C41" s="312">
        <f t="shared" si="14"/>
        <v>0.00914285714285714</v>
      </c>
      <c r="D41" s="313" t="s">
        <v>693</v>
      </c>
      <c r="E41" s="314">
        <v>200</v>
      </c>
      <c r="F41" s="315" t="s">
        <v>656</v>
      </c>
      <c r="G41" s="314">
        <f>G3*4/1000</f>
        <v>384</v>
      </c>
      <c r="H41" s="313" t="s">
        <v>645</v>
      </c>
      <c r="I41" s="348">
        <v>0.8</v>
      </c>
      <c r="J41" s="349">
        <v>1</v>
      </c>
      <c r="K41" s="350">
        <f t="shared" si="15"/>
        <v>61440</v>
      </c>
      <c r="L41" s="351">
        <f>K41/G3</f>
        <v>0.64</v>
      </c>
      <c r="M41" s="352" t="s">
        <v>710</v>
      </c>
      <c r="N41" s="353" t="s">
        <v>708</v>
      </c>
    </row>
    <row r="42" s="266" customFormat="1" ht="18" customHeight="1" spans="1:14">
      <c r="A42" s="317" t="s">
        <v>167</v>
      </c>
      <c r="B42" s="317"/>
      <c r="C42" s="312"/>
      <c r="D42" s="317"/>
      <c r="E42" s="317"/>
      <c r="F42" s="317"/>
      <c r="G42" s="317"/>
      <c r="H42" s="317"/>
      <c r="I42" s="317"/>
      <c r="J42" s="317"/>
      <c r="K42" s="350">
        <f>SUM(K39:K41)</f>
        <v>130560</v>
      </c>
      <c r="L42" s="351">
        <f>SUM(L39:L41)</f>
        <v>1.36</v>
      </c>
      <c r="M42" s="352"/>
      <c r="N42" s="353"/>
    </row>
    <row r="43" s="271" customFormat="1" ht="36.95" customHeight="1" spans="1:14">
      <c r="A43" s="310">
        <v>9</v>
      </c>
      <c r="B43" s="311" t="s">
        <v>711</v>
      </c>
      <c r="C43" s="312">
        <f t="shared" ref="C43:C48" si="16">L43/70</f>
        <v>0.0267</v>
      </c>
      <c r="D43" s="313" t="s">
        <v>712</v>
      </c>
      <c r="E43" s="314">
        <v>20</v>
      </c>
      <c r="F43" s="315" t="s">
        <v>656</v>
      </c>
      <c r="G43" s="314">
        <f>G3*13.35%</f>
        <v>12816</v>
      </c>
      <c r="H43" s="313" t="s">
        <v>645</v>
      </c>
      <c r="I43" s="348">
        <v>0.7</v>
      </c>
      <c r="J43" s="349">
        <v>1</v>
      </c>
      <c r="K43" s="350">
        <f t="shared" ref="K43:K48" si="17">E43*G43*I43*J43</f>
        <v>179424</v>
      </c>
      <c r="L43" s="351">
        <f>K43/G3</f>
        <v>1.869</v>
      </c>
      <c r="M43" s="352" t="s">
        <v>713</v>
      </c>
      <c r="N43" s="353" t="s">
        <v>677</v>
      </c>
    </row>
    <row r="44" s="271" customFormat="1" ht="39" customHeight="1" spans="1:14">
      <c r="A44" s="310"/>
      <c r="B44" s="311"/>
      <c r="C44" s="312">
        <f t="shared" si="16"/>
        <v>0.0132</v>
      </c>
      <c r="D44" s="313" t="s">
        <v>714</v>
      </c>
      <c r="E44" s="314">
        <v>20</v>
      </c>
      <c r="F44" s="315" t="s">
        <v>656</v>
      </c>
      <c r="G44" s="314">
        <f>G3*3%</f>
        <v>2880</v>
      </c>
      <c r="H44" s="313" t="s">
        <v>645</v>
      </c>
      <c r="I44" s="348">
        <v>0.77</v>
      </c>
      <c r="J44" s="349">
        <v>2</v>
      </c>
      <c r="K44" s="350">
        <f t="shared" si="17"/>
        <v>88704</v>
      </c>
      <c r="L44" s="351">
        <f>K44/G3</f>
        <v>0.924</v>
      </c>
      <c r="M44" s="352" t="s">
        <v>715</v>
      </c>
      <c r="N44" s="353" t="s">
        <v>716</v>
      </c>
    </row>
    <row r="45" s="266" customFormat="1" ht="12.95" customHeight="1" spans="1:14">
      <c r="A45" s="317" t="s">
        <v>167</v>
      </c>
      <c r="B45" s="317"/>
      <c r="C45" s="312"/>
      <c r="D45" s="317"/>
      <c r="E45" s="317"/>
      <c r="F45" s="317"/>
      <c r="G45" s="317"/>
      <c r="H45" s="317"/>
      <c r="I45" s="317"/>
      <c r="J45" s="317"/>
      <c r="K45" s="350">
        <f>SUM(K43:K44)</f>
        <v>268128</v>
      </c>
      <c r="L45" s="356">
        <f>SUM(L43:L44)</f>
        <v>2.793</v>
      </c>
      <c r="M45" s="352"/>
      <c r="N45" s="353"/>
    </row>
    <row r="46" s="271" customFormat="1" ht="30" customHeight="1" spans="1:14">
      <c r="A46" s="318">
        <v>10</v>
      </c>
      <c r="B46" s="319" t="s">
        <v>717</v>
      </c>
      <c r="C46" s="312">
        <f t="shared" si="16"/>
        <v>0.000707142857142857</v>
      </c>
      <c r="D46" s="313" t="s">
        <v>718</v>
      </c>
      <c r="E46" s="314">
        <v>55</v>
      </c>
      <c r="F46" s="315" t="s">
        <v>719</v>
      </c>
      <c r="G46" s="314">
        <f>G3*0.0009</f>
        <v>86.4</v>
      </c>
      <c r="H46" s="313" t="s">
        <v>645</v>
      </c>
      <c r="I46" s="348">
        <v>1</v>
      </c>
      <c r="J46" s="349">
        <v>1</v>
      </c>
      <c r="K46" s="350">
        <f t="shared" si="17"/>
        <v>4752</v>
      </c>
      <c r="L46" s="351">
        <f>K46/G3</f>
        <v>0.0495</v>
      </c>
      <c r="M46" s="352" t="s">
        <v>720</v>
      </c>
      <c r="N46" s="353" t="s">
        <v>721</v>
      </c>
    </row>
    <row r="47" s="270" customFormat="1" ht="26.25" customHeight="1" spans="1:14">
      <c r="A47" s="320"/>
      <c r="B47" s="321"/>
      <c r="C47" s="312">
        <f t="shared" si="16"/>
        <v>0.000803571428571429</v>
      </c>
      <c r="D47" s="313" t="s">
        <v>722</v>
      </c>
      <c r="E47" s="314">
        <v>200</v>
      </c>
      <c r="F47" s="315" t="s">
        <v>723</v>
      </c>
      <c r="G47" s="314">
        <v>30</v>
      </c>
      <c r="H47" s="313" t="s">
        <v>645</v>
      </c>
      <c r="I47" s="348">
        <v>0.9</v>
      </c>
      <c r="J47" s="349">
        <v>1</v>
      </c>
      <c r="K47" s="350">
        <f t="shared" si="17"/>
        <v>5400</v>
      </c>
      <c r="L47" s="351">
        <f>K47/G3</f>
        <v>0.05625</v>
      </c>
      <c r="M47" s="352" t="s">
        <v>724</v>
      </c>
      <c r="N47" s="353" t="s">
        <v>725</v>
      </c>
    </row>
    <row r="48" s="271" customFormat="1" ht="23.1" customHeight="1" spans="1:14">
      <c r="A48" s="322"/>
      <c r="B48" s="323"/>
      <c r="C48" s="312">
        <f t="shared" si="16"/>
        <v>5.95238095238095e-5</v>
      </c>
      <c r="D48" s="313" t="s">
        <v>726</v>
      </c>
      <c r="E48" s="314">
        <v>400</v>
      </c>
      <c r="F48" s="315" t="s">
        <v>632</v>
      </c>
      <c r="G48" s="314">
        <v>1</v>
      </c>
      <c r="H48" s="313" t="s">
        <v>645</v>
      </c>
      <c r="I48" s="348">
        <v>1</v>
      </c>
      <c r="J48" s="349">
        <v>1</v>
      </c>
      <c r="K48" s="350">
        <f t="shared" si="17"/>
        <v>400</v>
      </c>
      <c r="L48" s="351">
        <f>K48/G3</f>
        <v>0.00416666666666667</v>
      </c>
      <c r="M48" s="352" t="s">
        <v>727</v>
      </c>
      <c r="N48" s="353" t="s">
        <v>728</v>
      </c>
    </row>
    <row r="49" s="266" customFormat="1" ht="18.95" customHeight="1" spans="1:14">
      <c r="A49" s="291" t="s">
        <v>167</v>
      </c>
      <c r="B49" s="291"/>
      <c r="C49" s="293"/>
      <c r="D49" s="291"/>
      <c r="E49" s="291"/>
      <c r="F49" s="291"/>
      <c r="G49" s="291"/>
      <c r="H49" s="291"/>
      <c r="I49" s="291"/>
      <c r="J49" s="291"/>
      <c r="K49" s="340">
        <f>SUM(K46:K48)</f>
        <v>10552</v>
      </c>
      <c r="L49" s="295">
        <f>SUM(L46:L48)</f>
        <v>0.109916666666667</v>
      </c>
      <c r="M49" s="341"/>
      <c r="N49" s="344"/>
    </row>
    <row r="50" s="271" customFormat="1" ht="41.1" customHeight="1" spans="1:14">
      <c r="A50" s="319">
        <v>11</v>
      </c>
      <c r="B50" s="319" t="s">
        <v>729</v>
      </c>
      <c r="C50" s="293">
        <f t="shared" ref="C50:C54" si="18">L50/75</f>
        <v>0.0266666666666667</v>
      </c>
      <c r="D50" s="298" t="s">
        <v>730</v>
      </c>
      <c r="E50" s="325">
        <v>2</v>
      </c>
      <c r="F50" s="296" t="s">
        <v>719</v>
      </c>
      <c r="G50" s="297">
        <v>96000</v>
      </c>
      <c r="H50" s="298" t="s">
        <v>645</v>
      </c>
      <c r="I50" s="338">
        <v>1</v>
      </c>
      <c r="J50" s="339">
        <v>1</v>
      </c>
      <c r="K50" s="340">
        <f t="shared" ref="K50:K54" si="19">E50*G50*J50</f>
        <v>192000</v>
      </c>
      <c r="L50" s="295">
        <f>K50/G3</f>
        <v>2</v>
      </c>
      <c r="M50" s="357" t="s">
        <v>731</v>
      </c>
      <c r="N50" s="344" t="s">
        <v>628</v>
      </c>
    </row>
    <row r="51" s="271" customFormat="1" ht="30" customHeight="1" spans="1:14">
      <c r="A51" s="321"/>
      <c r="B51" s="321"/>
      <c r="C51" s="293">
        <f t="shared" si="18"/>
        <v>0.0266666666666667</v>
      </c>
      <c r="D51" s="298" t="s">
        <v>732</v>
      </c>
      <c r="E51" s="325">
        <v>2</v>
      </c>
      <c r="F51" s="296" t="s">
        <v>719</v>
      </c>
      <c r="G51" s="297">
        <v>96000</v>
      </c>
      <c r="H51" s="298" t="s">
        <v>645</v>
      </c>
      <c r="I51" s="338">
        <v>1</v>
      </c>
      <c r="J51" s="339">
        <v>1</v>
      </c>
      <c r="K51" s="340">
        <f t="shared" si="19"/>
        <v>192000</v>
      </c>
      <c r="L51" s="295">
        <f>K51/G3</f>
        <v>2</v>
      </c>
      <c r="M51" s="357" t="s">
        <v>733</v>
      </c>
      <c r="N51" s="344" t="s">
        <v>628</v>
      </c>
    </row>
    <row r="52" s="271" customFormat="1" ht="27.95" customHeight="1" spans="1:14">
      <c r="A52" s="321"/>
      <c r="B52" s="321"/>
      <c r="C52" s="293">
        <f t="shared" si="18"/>
        <v>0.0266666666666667</v>
      </c>
      <c r="D52" s="298" t="s">
        <v>734</v>
      </c>
      <c r="E52" s="325">
        <v>2</v>
      </c>
      <c r="F52" s="296" t="s">
        <v>719</v>
      </c>
      <c r="G52" s="297">
        <v>96000</v>
      </c>
      <c r="H52" s="298" t="s">
        <v>645</v>
      </c>
      <c r="I52" s="338">
        <v>1</v>
      </c>
      <c r="J52" s="339">
        <v>1</v>
      </c>
      <c r="K52" s="340">
        <f t="shared" si="19"/>
        <v>192000</v>
      </c>
      <c r="L52" s="295">
        <f>K52/G3</f>
        <v>2</v>
      </c>
      <c r="M52" s="357" t="s">
        <v>735</v>
      </c>
      <c r="N52" s="344" t="s">
        <v>628</v>
      </c>
    </row>
    <row r="53" s="271" customFormat="1" ht="47.1" customHeight="1" spans="1:14">
      <c r="A53" s="321"/>
      <c r="B53" s="321"/>
      <c r="C53" s="293">
        <f t="shared" si="18"/>
        <v>0.0266666666666667</v>
      </c>
      <c r="D53" s="298" t="s">
        <v>736</v>
      </c>
      <c r="E53" s="325">
        <v>2</v>
      </c>
      <c r="F53" s="296" t="s">
        <v>719</v>
      </c>
      <c r="G53" s="297">
        <v>96000</v>
      </c>
      <c r="H53" s="298" t="s">
        <v>645</v>
      </c>
      <c r="I53" s="338">
        <v>1</v>
      </c>
      <c r="J53" s="339">
        <v>1</v>
      </c>
      <c r="K53" s="340">
        <f t="shared" si="19"/>
        <v>192000</v>
      </c>
      <c r="L53" s="295">
        <f>K53/G3</f>
        <v>2</v>
      </c>
      <c r="M53" s="357" t="s">
        <v>737</v>
      </c>
      <c r="N53" s="344" t="s">
        <v>628</v>
      </c>
    </row>
    <row r="54" s="271" customFormat="1" ht="30" customHeight="1" spans="1:14">
      <c r="A54" s="321"/>
      <c r="B54" s="321"/>
      <c r="C54" s="293">
        <f t="shared" si="18"/>
        <v>0.0693333333333333</v>
      </c>
      <c r="D54" s="298" t="s">
        <v>738</v>
      </c>
      <c r="E54" s="325">
        <v>5.2</v>
      </c>
      <c r="F54" s="296" t="s">
        <v>719</v>
      </c>
      <c r="G54" s="297">
        <v>96000</v>
      </c>
      <c r="H54" s="298" t="s">
        <v>645</v>
      </c>
      <c r="I54" s="338">
        <v>1</v>
      </c>
      <c r="J54" s="325">
        <v>1</v>
      </c>
      <c r="K54" s="340">
        <f t="shared" si="19"/>
        <v>499200</v>
      </c>
      <c r="L54" s="295">
        <f>K54/G3</f>
        <v>5.2</v>
      </c>
      <c r="M54" s="357" t="s">
        <v>739</v>
      </c>
      <c r="N54" s="344" t="s">
        <v>628</v>
      </c>
    </row>
    <row r="55" s="266" customFormat="1" ht="18" customHeight="1" spans="1:14">
      <c r="A55" s="291" t="s">
        <v>167</v>
      </c>
      <c r="B55" s="291"/>
      <c r="C55" s="293"/>
      <c r="D55" s="291"/>
      <c r="E55" s="291"/>
      <c r="F55" s="291"/>
      <c r="G55" s="291"/>
      <c r="H55" s="291"/>
      <c r="I55" s="291"/>
      <c r="J55" s="291"/>
      <c r="K55" s="340">
        <f>SUM(K50:K54)</f>
        <v>1267200</v>
      </c>
      <c r="L55" s="358">
        <f>SUM(L50:L54)</f>
        <v>13.2</v>
      </c>
      <c r="M55" s="357"/>
      <c r="N55" s="344"/>
    </row>
    <row r="56" s="271" customFormat="1" ht="27" customHeight="1" spans="1:14">
      <c r="A56" s="299" t="s">
        <v>740</v>
      </c>
      <c r="B56" s="292" t="s">
        <v>741</v>
      </c>
      <c r="C56" s="293">
        <f t="shared" ref="C56:C60" si="20">L56/75</f>
        <v>0.00666666666666667</v>
      </c>
      <c r="D56" s="298" t="s">
        <v>742</v>
      </c>
      <c r="E56" s="325">
        <v>0.5</v>
      </c>
      <c r="F56" s="296" t="s">
        <v>719</v>
      </c>
      <c r="G56" s="297">
        <v>96000</v>
      </c>
      <c r="H56" s="298" t="s">
        <v>645</v>
      </c>
      <c r="I56" s="338">
        <v>1</v>
      </c>
      <c r="J56" s="339">
        <v>1</v>
      </c>
      <c r="K56" s="340">
        <f t="shared" ref="K56:K60" si="21">E56*G56*J56</f>
        <v>48000</v>
      </c>
      <c r="L56" s="295">
        <f>K56/G3</f>
        <v>0.5</v>
      </c>
      <c r="M56" s="357" t="s">
        <v>742</v>
      </c>
      <c r="N56" s="344" t="s">
        <v>628</v>
      </c>
    </row>
    <row r="57" s="271" customFormat="1" ht="27" customHeight="1" spans="1:14">
      <c r="A57" s="326"/>
      <c r="B57" s="292"/>
      <c r="C57" s="293">
        <f t="shared" si="20"/>
        <v>0.00666666666666667</v>
      </c>
      <c r="D57" s="298" t="s">
        <v>743</v>
      </c>
      <c r="E57" s="325">
        <v>0.5</v>
      </c>
      <c r="F57" s="296" t="s">
        <v>719</v>
      </c>
      <c r="G57" s="297">
        <v>96000</v>
      </c>
      <c r="H57" s="298" t="s">
        <v>645</v>
      </c>
      <c r="I57" s="338">
        <v>1</v>
      </c>
      <c r="J57" s="339">
        <v>1</v>
      </c>
      <c r="K57" s="340">
        <f t="shared" si="21"/>
        <v>48000</v>
      </c>
      <c r="L57" s="295">
        <f>K57/G3</f>
        <v>0.5</v>
      </c>
      <c r="M57" s="357" t="s">
        <v>743</v>
      </c>
      <c r="N57" s="344" t="s">
        <v>628</v>
      </c>
    </row>
    <row r="58" s="271" customFormat="1" ht="27" customHeight="1" spans="1:14">
      <c r="A58" s="326"/>
      <c r="B58" s="292"/>
      <c r="C58" s="293">
        <f t="shared" si="20"/>
        <v>0.00666666666666667</v>
      </c>
      <c r="D58" s="298" t="s">
        <v>744</v>
      </c>
      <c r="E58" s="325">
        <v>0.5</v>
      </c>
      <c r="F58" s="296" t="s">
        <v>719</v>
      </c>
      <c r="G58" s="297">
        <v>96000</v>
      </c>
      <c r="H58" s="298" t="s">
        <v>645</v>
      </c>
      <c r="I58" s="338">
        <v>1</v>
      </c>
      <c r="J58" s="339">
        <v>1</v>
      </c>
      <c r="K58" s="340">
        <f t="shared" si="21"/>
        <v>48000</v>
      </c>
      <c r="L58" s="295">
        <f>K58/G3</f>
        <v>0.5</v>
      </c>
      <c r="M58" s="357" t="s">
        <v>744</v>
      </c>
      <c r="N58" s="344" t="s">
        <v>628</v>
      </c>
    </row>
    <row r="59" s="271" customFormat="1" ht="27" customHeight="1" spans="1:14">
      <c r="A59" s="326"/>
      <c r="B59" s="292"/>
      <c r="C59" s="293">
        <f t="shared" si="20"/>
        <v>0.00666666666666667</v>
      </c>
      <c r="D59" s="298" t="s">
        <v>745</v>
      </c>
      <c r="E59" s="325">
        <v>0.5</v>
      </c>
      <c r="F59" s="296" t="s">
        <v>719</v>
      </c>
      <c r="G59" s="297">
        <v>96000</v>
      </c>
      <c r="H59" s="298" t="s">
        <v>645</v>
      </c>
      <c r="I59" s="338">
        <v>1</v>
      </c>
      <c r="J59" s="339">
        <v>1</v>
      </c>
      <c r="K59" s="340">
        <f t="shared" si="21"/>
        <v>48000</v>
      </c>
      <c r="L59" s="295">
        <f>K59/G3</f>
        <v>0.5</v>
      </c>
      <c r="M59" s="357" t="s">
        <v>745</v>
      </c>
      <c r="N59" s="344" t="s">
        <v>628</v>
      </c>
    </row>
    <row r="60" s="269" customFormat="1" ht="24.95" customHeight="1" spans="1:14">
      <c r="A60" s="327"/>
      <c r="B60" s="292"/>
      <c r="C60" s="293">
        <f t="shared" si="20"/>
        <v>0.00666666666666667</v>
      </c>
      <c r="D60" s="298" t="s">
        <v>746</v>
      </c>
      <c r="E60" s="325">
        <v>0.5</v>
      </c>
      <c r="F60" s="296" t="s">
        <v>719</v>
      </c>
      <c r="G60" s="297">
        <v>96000</v>
      </c>
      <c r="H60" s="298" t="s">
        <v>645</v>
      </c>
      <c r="I60" s="338">
        <v>1</v>
      </c>
      <c r="J60" s="339">
        <v>1</v>
      </c>
      <c r="K60" s="340">
        <f t="shared" si="21"/>
        <v>48000</v>
      </c>
      <c r="L60" s="295">
        <f>K60/G3</f>
        <v>0.5</v>
      </c>
      <c r="M60" s="357" t="s">
        <v>746</v>
      </c>
      <c r="N60" s="344" t="s">
        <v>628</v>
      </c>
    </row>
    <row r="61" s="266" customFormat="1" ht="18" customHeight="1" spans="1:14">
      <c r="A61" s="291" t="s">
        <v>167</v>
      </c>
      <c r="B61" s="291"/>
      <c r="C61" s="293"/>
      <c r="D61" s="291"/>
      <c r="E61" s="291"/>
      <c r="F61" s="291"/>
      <c r="G61" s="291"/>
      <c r="H61" s="291"/>
      <c r="I61" s="291"/>
      <c r="J61" s="291"/>
      <c r="K61" s="340">
        <f>SUM(K56:K60)</f>
        <v>240000</v>
      </c>
      <c r="L61" s="358">
        <f>SUM(L56:L60)</f>
        <v>2.5</v>
      </c>
      <c r="M61" s="341"/>
      <c r="N61" s="344"/>
    </row>
    <row r="62" s="272" customFormat="1" ht="21" customHeight="1" spans="1:14">
      <c r="A62" s="328" t="s">
        <v>34</v>
      </c>
      <c r="B62" s="329"/>
      <c r="C62" s="329"/>
      <c r="D62" s="329"/>
      <c r="E62" s="329"/>
      <c r="F62" s="329"/>
      <c r="G62" s="329"/>
      <c r="H62" s="329"/>
      <c r="I62" s="329"/>
      <c r="J62" s="359"/>
      <c r="K62" s="360">
        <f>K61+K55+K49+K45+K42+K38+K33+K28+K23+K17+K13+K9+K4</f>
        <v>13097495.408</v>
      </c>
      <c r="L62" s="361">
        <f>L3+L9+L13+L17+L23+L28+L933+L38+L42+L45+L49+L55+L61</f>
        <v>90.5731138333333</v>
      </c>
      <c r="M62" s="362"/>
      <c r="N62" s="363"/>
    </row>
    <row r="63" s="265" customFormat="1" spans="1:14">
      <c r="A63" s="273"/>
      <c r="B63" s="274"/>
      <c r="C63" s="330"/>
      <c r="D63" s="274" t="s">
        <v>747</v>
      </c>
      <c r="E63" s="276"/>
      <c r="F63" s="277"/>
      <c r="G63" s="278" t="s">
        <v>77</v>
      </c>
      <c r="H63" s="278"/>
      <c r="I63" s="279"/>
      <c r="J63" s="280"/>
      <c r="K63" s="281"/>
      <c r="L63" s="282"/>
      <c r="M63" s="265" t="s">
        <v>140</v>
      </c>
      <c r="N63" s="283"/>
    </row>
  </sheetData>
  <mergeCells count="28">
    <mergeCell ref="B1:N1"/>
    <mergeCell ref="E2:F2"/>
    <mergeCell ref="G2:H2"/>
    <mergeCell ref="A62:J62"/>
    <mergeCell ref="G63:H63"/>
    <mergeCell ref="A5:A8"/>
    <mergeCell ref="A10:A12"/>
    <mergeCell ref="A14:A16"/>
    <mergeCell ref="A18:A22"/>
    <mergeCell ref="A24:A27"/>
    <mergeCell ref="A29:A37"/>
    <mergeCell ref="A39:A41"/>
    <mergeCell ref="A43:A44"/>
    <mergeCell ref="A46:A48"/>
    <mergeCell ref="A50:A54"/>
    <mergeCell ref="A56:A60"/>
    <mergeCell ref="B5:B8"/>
    <mergeCell ref="B10:B12"/>
    <mergeCell ref="B14:B16"/>
    <mergeCell ref="B18:B22"/>
    <mergeCell ref="B24:B27"/>
    <mergeCell ref="B29:B32"/>
    <mergeCell ref="B34:B37"/>
    <mergeCell ref="B39:B41"/>
    <mergeCell ref="B43:B44"/>
    <mergeCell ref="B46:B48"/>
    <mergeCell ref="B50:B54"/>
    <mergeCell ref="B56:B60"/>
  </mergeCells>
  <pageMargins left="0.314583333333333" right="0.0784722222222222" top="0.550694444444444" bottom="0.393055555555556" header="0.5" footer="0.5"/>
  <pageSetup paperSize="9" scale="8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A1" sqref="A1:H12"/>
    </sheetView>
  </sheetViews>
  <sheetFormatPr defaultColWidth="9" defaultRowHeight="13.5"/>
  <cols>
    <col min="1" max="1" width="18.5" style="227" customWidth="1"/>
    <col min="2" max="3" width="10.375" style="228"/>
    <col min="4" max="5" width="9" style="227"/>
    <col min="6" max="6" width="13.125" style="227" customWidth="1"/>
    <col min="7" max="7" width="7.625" style="229" customWidth="1"/>
    <col min="8" max="8" width="55.25" style="227" customWidth="1"/>
    <col min="9" max="32" width="9" style="227"/>
    <col min="33" max="256" width="62" style="227"/>
    <col min="257" max="16384" width="9" style="227"/>
  </cols>
  <sheetData>
    <row r="1" ht="33" customHeight="1" spans="1:8">
      <c r="A1" s="230" t="s">
        <v>748</v>
      </c>
      <c r="B1" s="230"/>
      <c r="C1" s="230"/>
      <c r="D1" s="230"/>
      <c r="E1" s="230"/>
      <c r="F1" s="230"/>
      <c r="G1" s="230"/>
      <c r="H1" s="230"/>
    </row>
    <row r="2" ht="26.1" customHeight="1" spans="1:8">
      <c r="A2" s="231" t="s">
        <v>749</v>
      </c>
      <c r="B2" s="232" t="s">
        <v>615</v>
      </c>
      <c r="C2" s="232" t="s">
        <v>750</v>
      </c>
      <c r="D2" s="231" t="s">
        <v>347</v>
      </c>
      <c r="E2" s="231" t="s">
        <v>751</v>
      </c>
      <c r="F2" s="231" t="s">
        <v>752</v>
      </c>
      <c r="G2" s="233" t="s">
        <v>753</v>
      </c>
      <c r="H2" s="234" t="s">
        <v>754</v>
      </c>
    </row>
    <row r="3" ht="26.1" customHeight="1" spans="1:8">
      <c r="A3" s="235" t="s">
        <v>755</v>
      </c>
      <c r="B3" s="236">
        <v>10100</v>
      </c>
      <c r="C3" s="237">
        <v>0.6</v>
      </c>
      <c r="D3" s="238">
        <v>5</v>
      </c>
      <c r="E3" s="238">
        <v>1</v>
      </c>
      <c r="F3" s="239">
        <v>30300</v>
      </c>
      <c r="G3" s="239">
        <v>0.3</v>
      </c>
      <c r="H3" s="240" t="s">
        <v>756</v>
      </c>
    </row>
    <row r="4" ht="39" customHeight="1" spans="1:11">
      <c r="A4" s="235" t="s">
        <v>757</v>
      </c>
      <c r="B4" s="236">
        <v>10100</v>
      </c>
      <c r="C4" s="237">
        <v>0.6</v>
      </c>
      <c r="D4" s="238">
        <v>28</v>
      </c>
      <c r="E4" s="238">
        <v>1</v>
      </c>
      <c r="F4" s="239">
        <v>169680</v>
      </c>
      <c r="G4" s="239">
        <v>1.68</v>
      </c>
      <c r="H4" s="241"/>
      <c r="K4" s="262"/>
    </row>
    <row r="5" ht="26.1" customHeight="1" spans="1:8">
      <c r="A5" s="242" t="s">
        <v>758</v>
      </c>
      <c r="B5" s="236">
        <v>7450</v>
      </c>
      <c r="C5" s="237">
        <v>0.41</v>
      </c>
      <c r="D5" s="238">
        <v>5</v>
      </c>
      <c r="E5" s="238">
        <v>8</v>
      </c>
      <c r="F5" s="239">
        <v>122180</v>
      </c>
      <c r="G5" s="239">
        <v>1.20970297029703</v>
      </c>
      <c r="H5" s="243" t="s">
        <v>759</v>
      </c>
    </row>
    <row r="6" ht="26.1" customHeight="1" spans="1:8">
      <c r="A6" s="244"/>
      <c r="B6" s="236">
        <v>10100</v>
      </c>
      <c r="C6" s="237">
        <v>0.15</v>
      </c>
      <c r="D6" s="238">
        <v>5</v>
      </c>
      <c r="E6" s="238">
        <v>1</v>
      </c>
      <c r="F6" s="239">
        <v>7575</v>
      </c>
      <c r="G6" s="239">
        <v>0.075</v>
      </c>
      <c r="H6" s="245" t="s">
        <v>760</v>
      </c>
    </row>
    <row r="7" ht="48.95" customHeight="1" spans="1:8">
      <c r="A7" s="246" t="s">
        <v>761</v>
      </c>
      <c r="B7" s="236">
        <v>96000</v>
      </c>
      <c r="C7" s="237">
        <v>1</v>
      </c>
      <c r="D7" s="238">
        <v>0.191</v>
      </c>
      <c r="E7" s="238">
        <v>1</v>
      </c>
      <c r="F7" s="239">
        <v>18336</v>
      </c>
      <c r="G7" s="239">
        <v>0.181544554455446</v>
      </c>
      <c r="H7" s="245" t="s">
        <v>762</v>
      </c>
    </row>
    <row r="8" ht="36.95" customHeight="1" spans="1:8">
      <c r="A8" s="242" t="s">
        <v>763</v>
      </c>
      <c r="B8" s="236">
        <v>96000</v>
      </c>
      <c r="C8" s="247">
        <v>0.6</v>
      </c>
      <c r="D8" s="238">
        <v>1</v>
      </c>
      <c r="E8" s="248">
        <v>8</v>
      </c>
      <c r="F8" s="239">
        <v>460800</v>
      </c>
      <c r="G8" s="239">
        <v>4.56237623762376</v>
      </c>
      <c r="H8" s="249" t="s">
        <v>764</v>
      </c>
    </row>
    <row r="9" ht="35.1" customHeight="1" spans="1:8">
      <c r="A9" s="244"/>
      <c r="B9" s="236">
        <v>96000</v>
      </c>
      <c r="C9" s="247">
        <v>0.4</v>
      </c>
      <c r="D9" s="238">
        <v>6</v>
      </c>
      <c r="E9" s="238">
        <v>4</v>
      </c>
      <c r="F9" s="239">
        <v>921600</v>
      </c>
      <c r="G9" s="239">
        <v>9.12475247524752</v>
      </c>
      <c r="H9" s="249" t="s">
        <v>765</v>
      </c>
    </row>
    <row r="10" ht="35.1" customHeight="1" spans="1:8">
      <c r="A10" s="235" t="s">
        <v>766</v>
      </c>
      <c r="B10" s="236">
        <v>6960</v>
      </c>
      <c r="C10" s="237">
        <v>0.5</v>
      </c>
      <c r="D10" s="238">
        <v>42</v>
      </c>
      <c r="E10" s="238">
        <v>6</v>
      </c>
      <c r="F10" s="239">
        <v>876960</v>
      </c>
      <c r="G10" s="239">
        <v>8.68277227722772</v>
      </c>
      <c r="H10" s="249" t="s">
        <v>767</v>
      </c>
    </row>
    <row r="11" ht="36" customHeight="1" spans="1:8">
      <c r="A11" s="235" t="s">
        <v>768</v>
      </c>
      <c r="B11" s="236">
        <v>6960</v>
      </c>
      <c r="C11" s="250">
        <v>0.4</v>
      </c>
      <c r="D11" s="238">
        <v>42</v>
      </c>
      <c r="E11" s="238">
        <v>3</v>
      </c>
      <c r="F11" s="239">
        <v>350784</v>
      </c>
      <c r="G11" s="239">
        <v>3.47310891089109</v>
      </c>
      <c r="H11" s="249" t="s">
        <v>769</v>
      </c>
    </row>
    <row r="12" ht="26.1" customHeight="1" spans="1:8">
      <c r="A12" s="251" t="s">
        <v>34</v>
      </c>
      <c r="B12" s="252"/>
      <c r="C12" s="252"/>
      <c r="D12" s="251"/>
      <c r="E12" s="251"/>
      <c r="F12" s="253">
        <v>2958215</v>
      </c>
      <c r="G12" s="253">
        <v>29.2892574257426</v>
      </c>
      <c r="H12" s="254"/>
    </row>
    <row r="13" s="44" customFormat="1" ht="33" customHeight="1" spans="1:9">
      <c r="A13" s="255" t="s">
        <v>747</v>
      </c>
      <c r="B13" s="256"/>
      <c r="C13" s="257"/>
      <c r="D13" s="258" t="s">
        <v>77</v>
      </c>
      <c r="E13" s="258"/>
      <c r="F13" s="259"/>
      <c r="G13" s="260"/>
      <c r="H13" s="261" t="s">
        <v>140</v>
      </c>
      <c r="I13" s="263"/>
    </row>
  </sheetData>
  <mergeCells count="5">
    <mergeCell ref="A1:H1"/>
    <mergeCell ref="D13:E13"/>
    <mergeCell ref="A5:A6"/>
    <mergeCell ref="A8:A9"/>
    <mergeCell ref="H3:H4"/>
  </mergeCells>
  <pageMargins left="0.75" right="0.75" top="0.865972222222222" bottom="1" header="0.5" footer="0.5"/>
  <pageSetup paperSize="9" scale="8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2"/>
  <sheetViews>
    <sheetView zoomScale="145" zoomScaleNormal="145" topLeftCell="A45" workbookViewId="0">
      <selection activeCell="A1" sqref="A1:Z70"/>
    </sheetView>
  </sheetViews>
  <sheetFormatPr defaultColWidth="9" defaultRowHeight="14.25"/>
  <cols>
    <col min="1" max="1" width="4.48333333333333" style="44" customWidth="1"/>
    <col min="2" max="2" width="13.2416666666667" style="44" customWidth="1"/>
    <col min="3" max="4" width="5.625" style="44" customWidth="1"/>
    <col min="5" max="5" width="5.175" style="44" customWidth="1"/>
    <col min="6" max="7" width="5.625" style="44" customWidth="1"/>
    <col min="8" max="8" width="6.38333333333333" style="44" customWidth="1"/>
    <col min="9" max="9" width="7.40833333333333" style="44" customWidth="1"/>
    <col min="10" max="10" width="6.45833333333333" style="44" customWidth="1"/>
    <col min="11" max="11" width="7.15833333333333" style="44" customWidth="1"/>
    <col min="12" max="12" width="7.83333333333333" style="44" customWidth="1"/>
    <col min="13" max="13" width="5.625" style="44" customWidth="1"/>
    <col min="14" max="14" width="6.89166666666667" style="44" customWidth="1"/>
    <col min="15" max="15" width="5.16666666666667" style="44" customWidth="1"/>
    <col min="16" max="16" width="4.39166666666667" style="44" customWidth="1"/>
    <col min="17" max="17" width="5.625" style="44" customWidth="1"/>
    <col min="18" max="18" width="20.5416666666667" style="113" customWidth="1"/>
    <col min="19" max="19" width="11.475" style="44" customWidth="1"/>
    <col min="20" max="21" width="5.625" style="44" customWidth="1"/>
    <col min="22" max="22" width="3.35833333333333" style="44" customWidth="1"/>
    <col min="23" max="23" width="3.7" style="44" customWidth="1"/>
    <col min="24" max="24" width="3.35833333333333" style="44" customWidth="1"/>
    <col min="25" max="25" width="13.1" style="113" customWidth="1"/>
    <col min="26" max="26" width="15.3416666666667" style="113" customWidth="1"/>
    <col min="27" max="16384" width="9" style="44"/>
  </cols>
  <sheetData>
    <row r="1" s="44" customFormat="1" ht="20.25" spans="1:26">
      <c r="A1" s="114" t="s">
        <v>770</v>
      </c>
      <c r="B1" s="114"/>
      <c r="C1" s="114"/>
      <c r="D1" s="114"/>
      <c r="E1" s="114"/>
      <c r="F1" s="114"/>
      <c r="G1" s="114"/>
      <c r="H1" s="114"/>
      <c r="I1" s="114"/>
      <c r="J1" s="114"/>
      <c r="K1" s="114"/>
      <c r="L1" s="114"/>
      <c r="M1" s="114"/>
      <c r="N1" s="114"/>
      <c r="O1" s="114"/>
      <c r="P1" s="114"/>
      <c r="Q1" s="114"/>
      <c r="R1" s="190"/>
      <c r="S1" s="114"/>
      <c r="T1" s="114"/>
      <c r="U1" s="114"/>
      <c r="V1" s="114"/>
      <c r="W1" s="114"/>
      <c r="X1" s="114"/>
      <c r="Y1" s="190"/>
      <c r="Z1" s="190"/>
    </row>
    <row r="2" s="44" customFormat="1" spans="1:26">
      <c r="A2" s="115" t="s">
        <v>56</v>
      </c>
      <c r="B2" s="116" t="s">
        <v>771</v>
      </c>
      <c r="C2" s="117" t="s">
        <v>772</v>
      </c>
      <c r="D2" s="117"/>
      <c r="E2" s="117"/>
      <c r="F2" s="117"/>
      <c r="G2" s="117"/>
      <c r="H2" s="117"/>
      <c r="I2" s="117"/>
      <c r="J2" s="117"/>
      <c r="K2" s="117"/>
      <c r="L2" s="117"/>
      <c r="M2" s="117"/>
      <c r="N2" s="117"/>
      <c r="O2" s="117"/>
      <c r="P2" s="117"/>
      <c r="Q2" s="117"/>
      <c r="R2" s="191" t="s">
        <v>773</v>
      </c>
      <c r="S2" s="191" t="s">
        <v>620</v>
      </c>
      <c r="T2" s="115" t="s">
        <v>774</v>
      </c>
      <c r="U2" s="115"/>
      <c r="V2" s="115" t="s">
        <v>775</v>
      </c>
      <c r="W2" s="115"/>
      <c r="X2" s="115"/>
      <c r="Y2" s="207" t="s">
        <v>776</v>
      </c>
      <c r="Z2" s="207"/>
    </row>
    <row r="3" s="112" customFormat="1" ht="10.5" spans="1:26">
      <c r="A3" s="118"/>
      <c r="B3" s="119" t="s">
        <v>777</v>
      </c>
      <c r="C3" s="118" t="s">
        <v>778</v>
      </c>
      <c r="D3" s="120" t="s">
        <v>779</v>
      </c>
      <c r="E3" s="120" t="s">
        <v>780</v>
      </c>
      <c r="F3" s="121" t="s">
        <v>781</v>
      </c>
      <c r="G3" s="122" t="s">
        <v>782</v>
      </c>
      <c r="H3" s="123" t="s">
        <v>783</v>
      </c>
      <c r="I3" s="176" t="s">
        <v>784</v>
      </c>
      <c r="J3" s="122" t="s">
        <v>785</v>
      </c>
      <c r="K3" s="120" t="s">
        <v>786</v>
      </c>
      <c r="L3" s="176" t="s">
        <v>787</v>
      </c>
      <c r="M3" s="123" t="s">
        <v>788</v>
      </c>
      <c r="N3" s="120" t="s">
        <v>789</v>
      </c>
      <c r="O3" s="123" t="s">
        <v>790</v>
      </c>
      <c r="P3" s="123" t="s">
        <v>791</v>
      </c>
      <c r="Q3" s="123" t="s">
        <v>792</v>
      </c>
      <c r="R3" s="191"/>
      <c r="S3" s="120"/>
      <c r="T3" s="118"/>
      <c r="U3" s="118"/>
      <c r="V3" s="118"/>
      <c r="W3" s="118"/>
      <c r="X3" s="118"/>
      <c r="Y3" s="207"/>
      <c r="Z3" s="207"/>
    </row>
    <row r="4" s="112" customFormat="1" ht="47" customHeight="1" spans="1:26">
      <c r="A4" s="118"/>
      <c r="B4" s="124"/>
      <c r="C4" s="118"/>
      <c r="D4" s="120"/>
      <c r="E4" s="120"/>
      <c r="F4" s="121"/>
      <c r="G4" s="122"/>
      <c r="H4" s="123"/>
      <c r="I4" s="176"/>
      <c r="J4" s="122"/>
      <c r="K4" s="120"/>
      <c r="L4" s="176"/>
      <c r="M4" s="123"/>
      <c r="N4" s="120"/>
      <c r="O4" s="123"/>
      <c r="P4" s="123"/>
      <c r="Q4" s="123"/>
      <c r="R4" s="191"/>
      <c r="S4" s="120"/>
      <c r="T4" s="118" t="s">
        <v>793</v>
      </c>
      <c r="U4" s="118" t="s">
        <v>794</v>
      </c>
      <c r="V4" s="118" t="s">
        <v>795</v>
      </c>
      <c r="W4" s="118" t="s">
        <v>796</v>
      </c>
      <c r="X4" s="120" t="s">
        <v>797</v>
      </c>
      <c r="Y4" s="207" t="s">
        <v>798</v>
      </c>
      <c r="Z4" s="207" t="s">
        <v>799</v>
      </c>
    </row>
    <row r="5" s="112" customFormat="1" ht="55" customHeight="1" spans="1:26">
      <c r="A5" s="125" t="s">
        <v>800</v>
      </c>
      <c r="B5" s="126" t="s">
        <v>801</v>
      </c>
      <c r="C5" s="125">
        <v>17000</v>
      </c>
      <c r="D5" s="127" t="s">
        <v>802</v>
      </c>
      <c r="E5" s="127">
        <v>0.15</v>
      </c>
      <c r="F5" s="128">
        <f t="shared" ref="F5:F7" si="0">C5*E5</f>
        <v>2550</v>
      </c>
      <c r="G5" s="128" t="s">
        <v>645</v>
      </c>
      <c r="H5" s="129">
        <v>8</v>
      </c>
      <c r="I5" s="128">
        <f t="shared" ref="I5:I16" si="1">F5*H5</f>
        <v>20400</v>
      </c>
      <c r="J5" s="177">
        <v>1.8</v>
      </c>
      <c r="K5" s="127">
        <f t="shared" ref="K5:K16" si="2">J5/80</f>
        <v>0.0225</v>
      </c>
      <c r="L5" s="128">
        <f>I5+I6+I7</f>
        <v>64770</v>
      </c>
      <c r="M5" s="129">
        <f>J5+J6+J7</f>
        <v>8.75</v>
      </c>
      <c r="N5" s="127">
        <f>L5/(C5*80)</f>
        <v>0.047625</v>
      </c>
      <c r="O5" s="129" t="s">
        <v>802</v>
      </c>
      <c r="P5" s="129" t="s">
        <v>802</v>
      </c>
      <c r="Q5" s="127" t="s">
        <v>802</v>
      </c>
      <c r="R5" s="192" t="s">
        <v>803</v>
      </c>
      <c r="S5" s="136" t="s">
        <v>804</v>
      </c>
      <c r="T5" s="136" t="s">
        <v>805</v>
      </c>
      <c r="U5" s="136" t="s">
        <v>806</v>
      </c>
      <c r="V5" s="125" t="s">
        <v>802</v>
      </c>
      <c r="W5" s="125" t="s">
        <v>802</v>
      </c>
      <c r="X5" s="125" t="s">
        <v>802</v>
      </c>
      <c r="Y5" s="208" t="s">
        <v>807</v>
      </c>
      <c r="Z5" s="208" t="s">
        <v>808</v>
      </c>
    </row>
    <row r="6" s="112" customFormat="1" ht="35" customHeight="1" spans="1:26">
      <c r="A6" s="125"/>
      <c r="B6" s="126" t="s">
        <v>809</v>
      </c>
      <c r="C6" s="125">
        <v>17000</v>
      </c>
      <c r="D6" s="127" t="s">
        <v>802</v>
      </c>
      <c r="E6" s="127">
        <v>0.62</v>
      </c>
      <c r="F6" s="128">
        <f t="shared" si="0"/>
        <v>10540</v>
      </c>
      <c r="G6" s="128" t="s">
        <v>645</v>
      </c>
      <c r="H6" s="129">
        <v>3</v>
      </c>
      <c r="I6" s="128">
        <f t="shared" si="1"/>
        <v>31620</v>
      </c>
      <c r="J6" s="177">
        <v>6.2</v>
      </c>
      <c r="K6" s="127">
        <f t="shared" si="2"/>
        <v>0.0775</v>
      </c>
      <c r="L6" s="128"/>
      <c r="M6" s="129"/>
      <c r="N6" s="127"/>
      <c r="O6" s="129"/>
      <c r="P6" s="129"/>
      <c r="Q6" s="127"/>
      <c r="R6" s="192" t="s">
        <v>810</v>
      </c>
      <c r="S6" s="136"/>
      <c r="T6" s="136"/>
      <c r="U6" s="136"/>
      <c r="V6" s="125"/>
      <c r="W6" s="125"/>
      <c r="X6" s="125"/>
      <c r="Y6" s="208"/>
      <c r="Z6" s="208"/>
    </row>
    <row r="7" s="112" customFormat="1" ht="33" customHeight="1" spans="1:26">
      <c r="A7" s="125"/>
      <c r="B7" s="126" t="s">
        <v>811</v>
      </c>
      <c r="C7" s="125">
        <v>17000</v>
      </c>
      <c r="D7" s="127" t="s">
        <v>802</v>
      </c>
      <c r="E7" s="127">
        <v>0.5</v>
      </c>
      <c r="F7" s="128">
        <f t="shared" si="0"/>
        <v>8500</v>
      </c>
      <c r="G7" s="128" t="s">
        <v>645</v>
      </c>
      <c r="H7" s="129">
        <v>1.5</v>
      </c>
      <c r="I7" s="128">
        <f t="shared" si="1"/>
        <v>12750</v>
      </c>
      <c r="J7" s="177">
        <v>0.75</v>
      </c>
      <c r="K7" s="127">
        <f t="shared" si="2"/>
        <v>0.009375</v>
      </c>
      <c r="L7" s="128"/>
      <c r="M7" s="129"/>
      <c r="N7" s="127"/>
      <c r="O7" s="129"/>
      <c r="P7" s="129"/>
      <c r="Q7" s="127"/>
      <c r="R7" s="192" t="s">
        <v>812</v>
      </c>
      <c r="S7" s="136"/>
      <c r="T7" s="136"/>
      <c r="U7" s="136"/>
      <c r="V7" s="125"/>
      <c r="W7" s="125"/>
      <c r="X7" s="125"/>
      <c r="Y7" s="208"/>
      <c r="Z7" s="208"/>
    </row>
    <row r="8" s="112" customFormat="1" ht="49" customHeight="1" spans="1:26">
      <c r="A8" s="130" t="s">
        <v>813</v>
      </c>
      <c r="B8" s="131" t="s">
        <v>814</v>
      </c>
      <c r="C8" s="125">
        <v>17000</v>
      </c>
      <c r="D8" s="132" t="s">
        <v>802</v>
      </c>
      <c r="E8" s="132">
        <v>0.6</v>
      </c>
      <c r="F8" s="133">
        <v>10200</v>
      </c>
      <c r="G8" s="133" t="s">
        <v>645</v>
      </c>
      <c r="H8" s="134">
        <v>6</v>
      </c>
      <c r="I8" s="133">
        <f t="shared" si="1"/>
        <v>61200</v>
      </c>
      <c r="J8" s="178">
        <v>0.72</v>
      </c>
      <c r="K8" s="132">
        <f t="shared" si="2"/>
        <v>0.009</v>
      </c>
      <c r="L8" s="133">
        <f>I8+I9+I10+I11+I12</f>
        <v>251200</v>
      </c>
      <c r="M8" s="134">
        <f>J8+J9+J10+J11+J12</f>
        <v>2.12613178023724</v>
      </c>
      <c r="N8" s="132">
        <f>L8/(C8*80)</f>
        <v>0.184705882352941</v>
      </c>
      <c r="O8" s="134" t="s">
        <v>802</v>
      </c>
      <c r="P8" s="134" t="s">
        <v>802</v>
      </c>
      <c r="Q8" s="132" t="s">
        <v>802</v>
      </c>
      <c r="R8" s="193" t="s">
        <v>815</v>
      </c>
      <c r="S8" s="131" t="s">
        <v>816</v>
      </c>
      <c r="T8" s="131" t="s">
        <v>817</v>
      </c>
      <c r="U8" s="131" t="s">
        <v>818</v>
      </c>
      <c r="V8" s="130" t="s">
        <v>802</v>
      </c>
      <c r="W8" s="130" t="s">
        <v>802</v>
      </c>
      <c r="X8" s="130" t="s">
        <v>802</v>
      </c>
      <c r="Y8" s="209" t="s">
        <v>819</v>
      </c>
      <c r="Z8" s="209" t="s">
        <v>820</v>
      </c>
    </row>
    <row r="9" s="112" customFormat="1" ht="44" customHeight="1" spans="1:26">
      <c r="A9" s="130"/>
      <c r="B9" s="131" t="s">
        <v>821</v>
      </c>
      <c r="C9" s="125">
        <v>17000</v>
      </c>
      <c r="D9" s="132" t="s">
        <v>802</v>
      </c>
      <c r="E9" s="132" t="s">
        <v>802</v>
      </c>
      <c r="F9" s="135">
        <v>40</v>
      </c>
      <c r="G9" s="133" t="s">
        <v>822</v>
      </c>
      <c r="H9" s="134">
        <v>4000</v>
      </c>
      <c r="I9" s="133">
        <f t="shared" si="1"/>
        <v>160000</v>
      </c>
      <c r="J9" s="178">
        <v>0.382073705034072</v>
      </c>
      <c r="K9" s="132">
        <f t="shared" si="2"/>
        <v>0.0047759213129259</v>
      </c>
      <c r="L9" s="133"/>
      <c r="M9" s="134"/>
      <c r="N9" s="132"/>
      <c r="O9" s="134"/>
      <c r="P9" s="134"/>
      <c r="Q9" s="132"/>
      <c r="R9" s="193" t="s">
        <v>823</v>
      </c>
      <c r="S9" s="131"/>
      <c r="T9" s="131"/>
      <c r="U9" s="131"/>
      <c r="V9" s="130"/>
      <c r="W9" s="130"/>
      <c r="X9" s="130"/>
      <c r="Y9" s="197"/>
      <c r="Z9" s="197"/>
    </row>
    <row r="10" s="112" customFormat="1" ht="42" customHeight="1" spans="1:26">
      <c r="A10" s="130"/>
      <c r="B10" s="131" t="s">
        <v>824</v>
      </c>
      <c r="C10" s="125">
        <v>17000</v>
      </c>
      <c r="D10" s="132" t="s">
        <v>802</v>
      </c>
      <c r="E10" s="132" t="s">
        <v>802</v>
      </c>
      <c r="F10" s="135">
        <v>24</v>
      </c>
      <c r="G10" s="133" t="s">
        <v>825</v>
      </c>
      <c r="H10" s="134">
        <v>400</v>
      </c>
      <c r="I10" s="133">
        <f t="shared" si="1"/>
        <v>9600</v>
      </c>
      <c r="J10" s="178">
        <v>0.259407936575765</v>
      </c>
      <c r="K10" s="132">
        <f t="shared" si="2"/>
        <v>0.00324259920719706</v>
      </c>
      <c r="L10" s="133"/>
      <c r="M10" s="134"/>
      <c r="N10" s="132"/>
      <c r="O10" s="134"/>
      <c r="P10" s="134"/>
      <c r="Q10" s="132"/>
      <c r="R10" s="193" t="s">
        <v>826</v>
      </c>
      <c r="S10" s="131"/>
      <c r="T10" s="131"/>
      <c r="U10" s="131"/>
      <c r="V10" s="130"/>
      <c r="W10" s="130"/>
      <c r="X10" s="130"/>
      <c r="Y10" s="197"/>
      <c r="Z10" s="197"/>
    </row>
    <row r="11" s="112" customFormat="1" ht="40" customHeight="1" spans="1:26">
      <c r="A11" s="130"/>
      <c r="B11" s="131" t="s">
        <v>827</v>
      </c>
      <c r="C11" s="125">
        <v>17000</v>
      </c>
      <c r="D11" s="132" t="s">
        <v>802</v>
      </c>
      <c r="E11" s="132" t="s">
        <v>802</v>
      </c>
      <c r="F11" s="135">
        <v>12</v>
      </c>
      <c r="G11" s="133" t="s">
        <v>828</v>
      </c>
      <c r="H11" s="134">
        <v>800</v>
      </c>
      <c r="I11" s="133">
        <f t="shared" si="1"/>
        <v>9600</v>
      </c>
      <c r="J11" s="178">
        <v>0.398161018930244</v>
      </c>
      <c r="K11" s="132">
        <f t="shared" si="2"/>
        <v>0.00497701273662805</v>
      </c>
      <c r="L11" s="133"/>
      <c r="M11" s="134"/>
      <c r="N11" s="132"/>
      <c r="O11" s="134"/>
      <c r="P11" s="134"/>
      <c r="Q11" s="132"/>
      <c r="R11" s="193" t="s">
        <v>829</v>
      </c>
      <c r="S11" s="131"/>
      <c r="T11" s="131"/>
      <c r="U11" s="131"/>
      <c r="V11" s="130"/>
      <c r="W11" s="130"/>
      <c r="X11" s="130"/>
      <c r="Y11" s="197"/>
      <c r="Z11" s="197"/>
    </row>
    <row r="12" s="112" customFormat="1" ht="35" customHeight="1" spans="1:26">
      <c r="A12" s="130"/>
      <c r="B12" s="131" t="s">
        <v>830</v>
      </c>
      <c r="C12" s="125">
        <v>17000</v>
      </c>
      <c r="D12" s="132" t="s">
        <v>802</v>
      </c>
      <c r="E12" s="132" t="s">
        <v>802</v>
      </c>
      <c r="F12" s="135">
        <v>12</v>
      </c>
      <c r="G12" s="133" t="s">
        <v>828</v>
      </c>
      <c r="H12" s="134">
        <v>900</v>
      </c>
      <c r="I12" s="133">
        <f t="shared" si="1"/>
        <v>10800</v>
      </c>
      <c r="J12" s="178">
        <v>0.366489119697156</v>
      </c>
      <c r="K12" s="132">
        <f t="shared" si="2"/>
        <v>0.00458111399621445</v>
      </c>
      <c r="L12" s="133"/>
      <c r="M12" s="134"/>
      <c r="N12" s="132"/>
      <c r="O12" s="134"/>
      <c r="P12" s="134"/>
      <c r="Q12" s="132"/>
      <c r="R12" s="193" t="s">
        <v>831</v>
      </c>
      <c r="S12" s="131"/>
      <c r="T12" s="131"/>
      <c r="U12" s="131"/>
      <c r="V12" s="130"/>
      <c r="W12" s="130"/>
      <c r="X12" s="130"/>
      <c r="Y12" s="197"/>
      <c r="Z12" s="197"/>
    </row>
    <row r="13" s="112" customFormat="1" ht="46" customHeight="1" spans="1:26">
      <c r="A13" s="125" t="s">
        <v>832</v>
      </c>
      <c r="B13" s="136" t="s">
        <v>833</v>
      </c>
      <c r="C13" s="125">
        <v>17000</v>
      </c>
      <c r="D13" s="127">
        <v>0.9</v>
      </c>
      <c r="E13" s="127">
        <v>0.9</v>
      </c>
      <c r="F13" s="128">
        <f t="shared" ref="F13:F16" si="3">C13*0.01*D13</f>
        <v>153</v>
      </c>
      <c r="G13" s="128" t="s">
        <v>645</v>
      </c>
      <c r="H13" s="129">
        <v>40</v>
      </c>
      <c r="I13" s="128">
        <f t="shared" si="1"/>
        <v>6120</v>
      </c>
      <c r="J13" s="177">
        <v>0.45</v>
      </c>
      <c r="K13" s="127">
        <f t="shared" si="2"/>
        <v>0.005625</v>
      </c>
      <c r="L13" s="128">
        <f>I13+I14+I15+I16+I17</f>
        <v>26010</v>
      </c>
      <c r="M13" s="129">
        <f>J13+J14+J15+J16+J17</f>
        <v>2.079</v>
      </c>
      <c r="N13" s="127">
        <f>L13/(C13*80)</f>
        <v>0.019125</v>
      </c>
      <c r="O13" s="129">
        <f>I17</f>
        <v>0</v>
      </c>
      <c r="P13" s="129">
        <f>O13/C13</f>
        <v>0</v>
      </c>
      <c r="Q13" s="127">
        <f>O13/L13</f>
        <v>0</v>
      </c>
      <c r="R13" s="194" t="s">
        <v>834</v>
      </c>
      <c r="S13" s="136" t="s">
        <v>835</v>
      </c>
      <c r="T13" s="136" t="s">
        <v>836</v>
      </c>
      <c r="U13" s="136" t="s">
        <v>837</v>
      </c>
      <c r="V13" s="125" t="s">
        <v>802</v>
      </c>
      <c r="W13" s="125" t="s">
        <v>802</v>
      </c>
      <c r="X13" s="125" t="s">
        <v>802</v>
      </c>
      <c r="Y13" s="208" t="s">
        <v>838</v>
      </c>
      <c r="Z13" s="208" t="s">
        <v>820</v>
      </c>
    </row>
    <row r="14" s="112" customFormat="1" ht="62" customHeight="1" spans="1:26">
      <c r="A14" s="125"/>
      <c r="B14" s="136" t="s">
        <v>839</v>
      </c>
      <c r="C14" s="125">
        <v>17000</v>
      </c>
      <c r="D14" s="127">
        <v>0.9</v>
      </c>
      <c r="E14" s="127">
        <v>0.9</v>
      </c>
      <c r="F14" s="128">
        <f>F13*4</f>
        <v>612</v>
      </c>
      <c r="G14" s="128" t="s">
        <v>645</v>
      </c>
      <c r="H14" s="129">
        <v>5</v>
      </c>
      <c r="I14" s="128">
        <f t="shared" si="1"/>
        <v>3060</v>
      </c>
      <c r="J14" s="177">
        <v>0.18</v>
      </c>
      <c r="K14" s="127">
        <f t="shared" si="2"/>
        <v>0.00225</v>
      </c>
      <c r="L14" s="128"/>
      <c r="M14" s="129"/>
      <c r="N14" s="127"/>
      <c r="O14" s="129"/>
      <c r="P14" s="129"/>
      <c r="Q14" s="127"/>
      <c r="R14" s="192" t="s">
        <v>840</v>
      </c>
      <c r="S14" s="136"/>
      <c r="T14" s="136"/>
      <c r="U14" s="136"/>
      <c r="V14" s="125"/>
      <c r="W14" s="125"/>
      <c r="X14" s="125"/>
      <c r="Y14" s="208"/>
      <c r="Z14" s="194"/>
    </row>
    <row r="15" s="112" customFormat="1" ht="34" customHeight="1" spans="1:26">
      <c r="A15" s="125"/>
      <c r="B15" s="136" t="s">
        <v>841</v>
      </c>
      <c r="C15" s="125">
        <v>17000</v>
      </c>
      <c r="D15" s="127">
        <v>0.9</v>
      </c>
      <c r="E15" s="127">
        <v>0.9</v>
      </c>
      <c r="F15" s="128">
        <f t="shared" si="3"/>
        <v>153</v>
      </c>
      <c r="G15" s="128" t="s">
        <v>645</v>
      </c>
      <c r="H15" s="129">
        <v>80</v>
      </c>
      <c r="I15" s="128">
        <f t="shared" si="1"/>
        <v>12240</v>
      </c>
      <c r="J15" s="177">
        <v>1.08</v>
      </c>
      <c r="K15" s="127">
        <f t="shared" si="2"/>
        <v>0.0135</v>
      </c>
      <c r="L15" s="128"/>
      <c r="M15" s="129"/>
      <c r="N15" s="127"/>
      <c r="O15" s="129"/>
      <c r="P15" s="129"/>
      <c r="Q15" s="127"/>
      <c r="R15" s="192" t="s">
        <v>842</v>
      </c>
      <c r="S15" s="136"/>
      <c r="T15" s="136"/>
      <c r="U15" s="136"/>
      <c r="V15" s="125"/>
      <c r="W15" s="125"/>
      <c r="X15" s="125"/>
      <c r="Y15" s="208"/>
      <c r="Z15" s="194"/>
    </row>
    <row r="16" s="112" customFormat="1" ht="28" customHeight="1" spans="1:26">
      <c r="A16" s="125"/>
      <c r="B16" s="137" t="s">
        <v>843</v>
      </c>
      <c r="C16" s="137">
        <v>17000</v>
      </c>
      <c r="D16" s="138">
        <v>0.9</v>
      </c>
      <c r="E16" s="138">
        <v>0.9</v>
      </c>
      <c r="F16" s="139">
        <f t="shared" si="3"/>
        <v>153</v>
      </c>
      <c r="G16" s="139" t="s">
        <v>645</v>
      </c>
      <c r="H16" s="140">
        <v>30</v>
      </c>
      <c r="I16" s="139">
        <f t="shared" si="1"/>
        <v>4590</v>
      </c>
      <c r="J16" s="179">
        <v>0.369</v>
      </c>
      <c r="K16" s="138">
        <f t="shared" si="2"/>
        <v>0.0046125</v>
      </c>
      <c r="L16" s="128"/>
      <c r="M16" s="129"/>
      <c r="N16" s="127"/>
      <c r="O16" s="129"/>
      <c r="P16" s="129"/>
      <c r="Q16" s="127"/>
      <c r="R16" s="195" t="s">
        <v>844</v>
      </c>
      <c r="S16" s="136"/>
      <c r="T16" s="136"/>
      <c r="U16" s="136"/>
      <c r="V16" s="125"/>
      <c r="W16" s="125"/>
      <c r="X16" s="125"/>
      <c r="Y16" s="208"/>
      <c r="Z16" s="194"/>
    </row>
    <row r="17" s="112" customFormat="1" ht="10.5" spans="1:26">
      <c r="A17" s="125"/>
      <c r="B17" s="141"/>
      <c r="C17" s="141"/>
      <c r="D17" s="142"/>
      <c r="E17" s="142"/>
      <c r="F17" s="143"/>
      <c r="G17" s="143"/>
      <c r="H17" s="144"/>
      <c r="I17" s="143"/>
      <c r="J17" s="180"/>
      <c r="K17" s="142"/>
      <c r="L17" s="128"/>
      <c r="M17" s="129"/>
      <c r="N17" s="127"/>
      <c r="O17" s="129"/>
      <c r="P17" s="129"/>
      <c r="Q17" s="127"/>
      <c r="R17" s="196"/>
      <c r="S17" s="136"/>
      <c r="T17" s="136"/>
      <c r="U17" s="136"/>
      <c r="V17" s="125"/>
      <c r="W17" s="125"/>
      <c r="X17" s="125"/>
      <c r="Y17" s="208"/>
      <c r="Z17" s="194"/>
    </row>
    <row r="18" s="112" customFormat="1" ht="48" customHeight="1" spans="1:26">
      <c r="A18" s="130" t="s">
        <v>845</v>
      </c>
      <c r="B18" s="145" t="s">
        <v>655</v>
      </c>
      <c r="C18" s="125">
        <v>17000</v>
      </c>
      <c r="D18" s="132">
        <v>0.9</v>
      </c>
      <c r="E18" s="132" t="s">
        <v>802</v>
      </c>
      <c r="F18" s="133">
        <f>C18*0.01*D18</f>
        <v>153</v>
      </c>
      <c r="G18" s="133" t="s">
        <v>645</v>
      </c>
      <c r="H18" s="134">
        <v>100</v>
      </c>
      <c r="I18" s="133">
        <f t="shared" ref="I18:I21" si="4">F18*H18</f>
        <v>15300</v>
      </c>
      <c r="J18" s="178">
        <v>1.08</v>
      </c>
      <c r="K18" s="132">
        <f t="shared" ref="K18:K23" si="5">J18/80</f>
        <v>0.0135</v>
      </c>
      <c r="L18" s="133">
        <f>I18+I19+I20+I21+I22+I23+I24</f>
        <v>48715</v>
      </c>
      <c r="M18" s="134">
        <f>J18+J19+J20+J21+J22+J23+J24</f>
        <v>4.209</v>
      </c>
      <c r="N18" s="132">
        <f>L18/(C18*80)</f>
        <v>0.0358198529411765</v>
      </c>
      <c r="O18" s="134">
        <f>I24</f>
        <v>0</v>
      </c>
      <c r="P18" s="134">
        <f>O18/C18</f>
        <v>0</v>
      </c>
      <c r="Q18" s="132">
        <f>O18/L18</f>
        <v>0</v>
      </c>
      <c r="R18" s="197" t="s">
        <v>846</v>
      </c>
      <c r="S18" s="131" t="s">
        <v>847</v>
      </c>
      <c r="T18" s="131" t="s">
        <v>848</v>
      </c>
      <c r="U18" s="131" t="s">
        <v>849</v>
      </c>
      <c r="V18" s="130" t="s">
        <v>802</v>
      </c>
      <c r="W18" s="130" t="s">
        <v>802</v>
      </c>
      <c r="X18" s="130" t="s">
        <v>802</v>
      </c>
      <c r="Y18" s="209" t="s">
        <v>850</v>
      </c>
      <c r="Z18" s="209" t="s">
        <v>820</v>
      </c>
    </row>
    <row r="19" s="112" customFormat="1" ht="53" customHeight="1" spans="1:26">
      <c r="A19" s="130"/>
      <c r="B19" s="145" t="s">
        <v>851</v>
      </c>
      <c r="C19" s="125">
        <v>17000</v>
      </c>
      <c r="D19" s="132">
        <v>0.8</v>
      </c>
      <c r="E19" s="132" t="s">
        <v>802</v>
      </c>
      <c r="F19" s="133">
        <f>C19*0.01*D19</f>
        <v>136</v>
      </c>
      <c r="G19" s="133" t="s">
        <v>645</v>
      </c>
      <c r="H19" s="134">
        <v>10</v>
      </c>
      <c r="I19" s="133">
        <f t="shared" si="4"/>
        <v>1360</v>
      </c>
      <c r="J19" s="178">
        <v>0.08</v>
      </c>
      <c r="K19" s="132">
        <f t="shared" si="5"/>
        <v>0.001</v>
      </c>
      <c r="L19" s="133"/>
      <c r="M19" s="134"/>
      <c r="N19" s="132"/>
      <c r="O19" s="134"/>
      <c r="P19" s="134"/>
      <c r="Q19" s="132"/>
      <c r="R19" s="193" t="s">
        <v>852</v>
      </c>
      <c r="S19" s="131"/>
      <c r="T19" s="131"/>
      <c r="U19" s="131"/>
      <c r="V19" s="130"/>
      <c r="W19" s="130"/>
      <c r="X19" s="130"/>
      <c r="Y19" s="209"/>
      <c r="Z19" s="197"/>
    </row>
    <row r="20" s="112" customFormat="1" ht="37" customHeight="1" spans="1:26">
      <c r="A20" s="130"/>
      <c r="B20" s="145" t="s">
        <v>659</v>
      </c>
      <c r="C20" s="125">
        <v>17000</v>
      </c>
      <c r="D20" s="132">
        <v>0.8</v>
      </c>
      <c r="E20" s="132" t="s">
        <v>802</v>
      </c>
      <c r="F20" s="133">
        <f>C20*0.01*D20*8</f>
        <v>1088</v>
      </c>
      <c r="G20" s="133" t="s">
        <v>853</v>
      </c>
      <c r="H20" s="134">
        <v>8</v>
      </c>
      <c r="I20" s="133">
        <f t="shared" si="4"/>
        <v>8704</v>
      </c>
      <c r="J20" s="178">
        <v>0.64</v>
      </c>
      <c r="K20" s="132">
        <f t="shared" si="5"/>
        <v>0.008</v>
      </c>
      <c r="L20" s="133"/>
      <c r="M20" s="134"/>
      <c r="N20" s="132"/>
      <c r="O20" s="134"/>
      <c r="P20" s="134"/>
      <c r="Q20" s="132"/>
      <c r="R20" s="197" t="s">
        <v>854</v>
      </c>
      <c r="S20" s="131"/>
      <c r="T20" s="131"/>
      <c r="U20" s="131"/>
      <c r="V20" s="130"/>
      <c r="W20" s="130"/>
      <c r="X20" s="130"/>
      <c r="Y20" s="209"/>
      <c r="Z20" s="197"/>
    </row>
    <row r="21" s="112" customFormat="1" ht="36" customHeight="1" spans="1:26">
      <c r="A21" s="130"/>
      <c r="B21" s="145" t="s">
        <v>855</v>
      </c>
      <c r="C21" s="125">
        <v>17000</v>
      </c>
      <c r="D21" s="132">
        <v>0.9</v>
      </c>
      <c r="E21" s="132" t="s">
        <v>802</v>
      </c>
      <c r="F21" s="133">
        <f>C21*0.07*D21</f>
        <v>1071</v>
      </c>
      <c r="G21" s="133" t="s">
        <v>645</v>
      </c>
      <c r="H21" s="134">
        <v>1</v>
      </c>
      <c r="I21" s="133">
        <f t="shared" si="4"/>
        <v>1071</v>
      </c>
      <c r="J21" s="178">
        <v>0.063</v>
      </c>
      <c r="K21" s="132">
        <f t="shared" si="5"/>
        <v>0.0007875</v>
      </c>
      <c r="L21" s="133"/>
      <c r="M21" s="134"/>
      <c r="N21" s="132"/>
      <c r="O21" s="134"/>
      <c r="P21" s="134"/>
      <c r="Q21" s="132"/>
      <c r="R21" s="197" t="s">
        <v>856</v>
      </c>
      <c r="S21" s="131"/>
      <c r="T21" s="131"/>
      <c r="U21" s="131"/>
      <c r="V21" s="130"/>
      <c r="W21" s="130"/>
      <c r="X21" s="130"/>
      <c r="Y21" s="209"/>
      <c r="Z21" s="197"/>
    </row>
    <row r="22" s="112" customFormat="1" ht="30" customHeight="1" spans="1:26">
      <c r="A22" s="130"/>
      <c r="B22" s="145" t="s">
        <v>857</v>
      </c>
      <c r="C22" s="125">
        <v>17000</v>
      </c>
      <c r="D22" s="132">
        <v>0.85</v>
      </c>
      <c r="E22" s="132" t="s">
        <v>802</v>
      </c>
      <c r="F22" s="133">
        <f>C22*0.03*D22</f>
        <v>433.5</v>
      </c>
      <c r="G22" s="133" t="s">
        <v>645</v>
      </c>
      <c r="H22" s="134">
        <v>20</v>
      </c>
      <c r="I22" s="133">
        <v>8680</v>
      </c>
      <c r="J22" s="178">
        <v>1.275</v>
      </c>
      <c r="K22" s="132">
        <f t="shared" si="5"/>
        <v>0.0159375</v>
      </c>
      <c r="L22" s="133"/>
      <c r="M22" s="134"/>
      <c r="N22" s="132"/>
      <c r="O22" s="134"/>
      <c r="P22" s="134"/>
      <c r="Q22" s="132"/>
      <c r="R22" s="193" t="s">
        <v>858</v>
      </c>
      <c r="S22" s="131"/>
      <c r="T22" s="131"/>
      <c r="U22" s="131"/>
      <c r="V22" s="130"/>
      <c r="W22" s="130"/>
      <c r="X22" s="130"/>
      <c r="Y22" s="209"/>
      <c r="Z22" s="197"/>
    </row>
    <row r="23" s="112" customFormat="1" ht="33" customHeight="1" spans="1:26">
      <c r="A23" s="130"/>
      <c r="B23" s="146" t="s">
        <v>859</v>
      </c>
      <c r="C23" s="147">
        <v>17000</v>
      </c>
      <c r="D23" s="148" t="s">
        <v>802</v>
      </c>
      <c r="E23" s="148">
        <v>0.04</v>
      </c>
      <c r="F23" s="149">
        <v>680</v>
      </c>
      <c r="G23" s="149" t="s">
        <v>645</v>
      </c>
      <c r="H23" s="150">
        <v>20</v>
      </c>
      <c r="I23" s="149">
        <f t="shared" ref="I23:I32" si="6">F23*H23</f>
        <v>13600</v>
      </c>
      <c r="J23" s="181">
        <v>1.071</v>
      </c>
      <c r="K23" s="148">
        <f t="shared" si="5"/>
        <v>0.0133875</v>
      </c>
      <c r="L23" s="133"/>
      <c r="M23" s="134"/>
      <c r="N23" s="132"/>
      <c r="O23" s="134"/>
      <c r="P23" s="134"/>
      <c r="Q23" s="132"/>
      <c r="R23" s="198" t="s">
        <v>860</v>
      </c>
      <c r="S23" s="131"/>
      <c r="T23" s="131"/>
      <c r="U23" s="131"/>
      <c r="V23" s="130"/>
      <c r="W23" s="130"/>
      <c r="X23" s="130"/>
      <c r="Y23" s="209"/>
      <c r="Z23" s="197"/>
    </row>
    <row r="24" s="112" customFormat="1" ht="20" customHeight="1" spans="1:26">
      <c r="A24" s="130"/>
      <c r="B24" s="151"/>
      <c r="C24" s="152"/>
      <c r="D24" s="153"/>
      <c r="E24" s="153"/>
      <c r="F24" s="154"/>
      <c r="G24" s="154"/>
      <c r="H24" s="155"/>
      <c r="I24" s="154"/>
      <c r="J24" s="182"/>
      <c r="K24" s="153"/>
      <c r="L24" s="133"/>
      <c r="M24" s="134"/>
      <c r="N24" s="132"/>
      <c r="O24" s="134"/>
      <c r="P24" s="134"/>
      <c r="Q24" s="132"/>
      <c r="R24" s="199"/>
      <c r="S24" s="131"/>
      <c r="T24" s="131"/>
      <c r="U24" s="131"/>
      <c r="V24" s="130"/>
      <c r="W24" s="130"/>
      <c r="X24" s="130"/>
      <c r="Y24" s="209"/>
      <c r="Z24" s="197"/>
    </row>
    <row r="25" s="112" customFormat="1" ht="31" customHeight="1" spans="1:26">
      <c r="A25" s="125" t="s">
        <v>861</v>
      </c>
      <c r="B25" s="126" t="s">
        <v>648</v>
      </c>
      <c r="C25" s="125">
        <v>17000</v>
      </c>
      <c r="D25" s="127">
        <v>0.9</v>
      </c>
      <c r="E25" s="127">
        <v>0.07</v>
      </c>
      <c r="F25" s="128">
        <f>C25*E25*D26</f>
        <v>1071</v>
      </c>
      <c r="G25" s="129" t="s">
        <v>645</v>
      </c>
      <c r="H25" s="129">
        <v>2</v>
      </c>
      <c r="I25" s="128">
        <f t="shared" si="6"/>
        <v>2142</v>
      </c>
      <c r="J25" s="177">
        <v>0.126</v>
      </c>
      <c r="K25" s="127">
        <f t="shared" ref="K25:K32" si="7">J25/80</f>
        <v>0.001575</v>
      </c>
      <c r="L25" s="128">
        <f>I25+I26+I27</f>
        <v>22902</v>
      </c>
      <c r="M25" s="129">
        <f>J25+J26+J27</f>
        <v>1.32515843239181</v>
      </c>
      <c r="N25" s="127">
        <f>L25/(C25*80)</f>
        <v>0.0168397058823529</v>
      </c>
      <c r="O25" s="129" t="s">
        <v>802</v>
      </c>
      <c r="P25" s="129" t="s">
        <v>802</v>
      </c>
      <c r="Q25" s="127" t="s">
        <v>802</v>
      </c>
      <c r="R25" s="194" t="s">
        <v>862</v>
      </c>
      <c r="S25" s="136" t="s">
        <v>863</v>
      </c>
      <c r="T25" s="136" t="s">
        <v>864</v>
      </c>
      <c r="U25" s="136" t="s">
        <v>865</v>
      </c>
      <c r="V25" s="125" t="s">
        <v>802</v>
      </c>
      <c r="W25" s="125" t="s">
        <v>802</v>
      </c>
      <c r="X25" s="125" t="s">
        <v>802</v>
      </c>
      <c r="Y25" s="208" t="s">
        <v>866</v>
      </c>
      <c r="Z25" s="208" t="s">
        <v>820</v>
      </c>
    </row>
    <row r="26" s="112" customFormat="1" ht="18" spans="1:26">
      <c r="A26" s="125"/>
      <c r="B26" s="126" t="s">
        <v>643</v>
      </c>
      <c r="C26" s="125">
        <v>17000</v>
      </c>
      <c r="D26" s="127">
        <v>0.9</v>
      </c>
      <c r="E26" s="127" t="s">
        <v>802</v>
      </c>
      <c r="F26" s="128">
        <v>5100</v>
      </c>
      <c r="G26" s="129" t="s">
        <v>867</v>
      </c>
      <c r="H26" s="129">
        <v>4</v>
      </c>
      <c r="I26" s="128">
        <f t="shared" si="6"/>
        <v>20400</v>
      </c>
      <c r="J26" s="177">
        <v>1.19816302984448</v>
      </c>
      <c r="K26" s="127">
        <f t="shared" si="7"/>
        <v>0.014977037873056</v>
      </c>
      <c r="L26" s="128"/>
      <c r="M26" s="129"/>
      <c r="N26" s="127"/>
      <c r="O26" s="129"/>
      <c r="P26" s="129"/>
      <c r="Q26" s="127"/>
      <c r="R26" s="194" t="s">
        <v>868</v>
      </c>
      <c r="S26" s="136"/>
      <c r="T26" s="136"/>
      <c r="U26" s="136"/>
      <c r="V26" s="125"/>
      <c r="W26" s="125"/>
      <c r="X26" s="125"/>
      <c r="Y26" s="194"/>
      <c r="Z26" s="194"/>
    </row>
    <row r="27" s="112" customFormat="1" ht="48" customHeight="1" spans="1:26">
      <c r="A27" s="125"/>
      <c r="B27" s="126" t="s">
        <v>869</v>
      </c>
      <c r="C27" s="125">
        <v>17000</v>
      </c>
      <c r="D27" s="127" t="s">
        <v>802</v>
      </c>
      <c r="E27" s="127">
        <v>0.0001</v>
      </c>
      <c r="F27" s="128">
        <v>1</v>
      </c>
      <c r="G27" s="127" t="s">
        <v>802</v>
      </c>
      <c r="H27" s="129">
        <v>360</v>
      </c>
      <c r="I27" s="128">
        <f t="shared" si="6"/>
        <v>360</v>
      </c>
      <c r="J27" s="177">
        <v>0.00099540254732561</v>
      </c>
      <c r="K27" s="127">
        <f t="shared" si="7"/>
        <v>1.24425318415701e-5</v>
      </c>
      <c r="L27" s="128"/>
      <c r="M27" s="129"/>
      <c r="N27" s="127"/>
      <c r="O27" s="129"/>
      <c r="P27" s="129"/>
      <c r="Q27" s="127"/>
      <c r="R27" s="192" t="s">
        <v>870</v>
      </c>
      <c r="S27" s="136"/>
      <c r="T27" s="136"/>
      <c r="U27" s="136"/>
      <c r="V27" s="125"/>
      <c r="W27" s="125"/>
      <c r="X27" s="125"/>
      <c r="Y27" s="194"/>
      <c r="Z27" s="194"/>
    </row>
    <row r="28" s="112" customFormat="1" ht="18" spans="1:26">
      <c r="A28" s="156" t="s">
        <v>871</v>
      </c>
      <c r="B28" s="157" t="s">
        <v>872</v>
      </c>
      <c r="C28" s="125">
        <v>17000</v>
      </c>
      <c r="D28" s="132">
        <v>0.62</v>
      </c>
      <c r="E28" s="132" t="s">
        <v>802</v>
      </c>
      <c r="F28" s="133">
        <v>1740</v>
      </c>
      <c r="G28" s="134" t="s">
        <v>645</v>
      </c>
      <c r="H28" s="134">
        <v>5</v>
      </c>
      <c r="I28" s="133">
        <f t="shared" si="6"/>
        <v>8700</v>
      </c>
      <c r="J28" s="178">
        <v>0.270205540571452</v>
      </c>
      <c r="K28" s="132">
        <f t="shared" si="7"/>
        <v>0.00337756925714315</v>
      </c>
      <c r="L28" s="149">
        <f>I28+I29+I30+I31+I32+I33+I34</f>
        <v>417600</v>
      </c>
      <c r="M28" s="150">
        <f>J28+J29+J30+J31+J32+J33+J34</f>
        <v>18.3739571524449</v>
      </c>
      <c r="N28" s="148">
        <f>L28/(C28*80)</f>
        <v>0.307058823529412</v>
      </c>
      <c r="O28" s="150">
        <f>I33</f>
        <v>0</v>
      </c>
      <c r="P28" s="150">
        <f>O28/C28</f>
        <v>0</v>
      </c>
      <c r="Q28" s="148">
        <f>O28/L28</f>
        <v>0</v>
      </c>
      <c r="R28" s="193" t="s">
        <v>873</v>
      </c>
      <c r="S28" s="172" t="s">
        <v>874</v>
      </c>
      <c r="T28" s="172" t="s">
        <v>875</v>
      </c>
      <c r="U28" s="172" t="s">
        <v>876</v>
      </c>
      <c r="V28" s="172" t="s">
        <v>877</v>
      </c>
      <c r="W28" s="172" t="s">
        <v>878</v>
      </c>
      <c r="X28" s="172" t="s">
        <v>879</v>
      </c>
      <c r="Y28" s="210" t="s">
        <v>880</v>
      </c>
      <c r="Z28" s="210" t="s">
        <v>820</v>
      </c>
    </row>
    <row r="29" s="112" customFormat="1" ht="37" customHeight="1" spans="1:26">
      <c r="A29" s="158"/>
      <c r="B29" s="157" t="s">
        <v>881</v>
      </c>
      <c r="C29" s="125">
        <v>17000</v>
      </c>
      <c r="D29" s="132">
        <v>0.62</v>
      </c>
      <c r="E29" s="132" t="s">
        <v>802</v>
      </c>
      <c r="F29" s="133">
        <v>1740</v>
      </c>
      <c r="G29" s="134" t="s">
        <v>645</v>
      </c>
      <c r="H29" s="134">
        <v>15</v>
      </c>
      <c r="I29" s="133">
        <f t="shared" si="6"/>
        <v>26100</v>
      </c>
      <c r="J29" s="178">
        <v>0.810616621714355</v>
      </c>
      <c r="K29" s="132">
        <f t="shared" si="7"/>
        <v>0.0101327077714294</v>
      </c>
      <c r="L29" s="183"/>
      <c r="M29" s="184"/>
      <c r="N29" s="185"/>
      <c r="O29" s="184"/>
      <c r="P29" s="184"/>
      <c r="Q29" s="185"/>
      <c r="R29" s="197" t="s">
        <v>882</v>
      </c>
      <c r="S29" s="200"/>
      <c r="T29" s="200"/>
      <c r="U29" s="200"/>
      <c r="V29" s="200"/>
      <c r="W29" s="200"/>
      <c r="X29" s="200"/>
      <c r="Y29" s="211"/>
      <c r="Z29" s="211"/>
    </row>
    <row r="30" s="112" customFormat="1" ht="59" customHeight="1" spans="1:26">
      <c r="A30" s="158"/>
      <c r="B30" s="157" t="s">
        <v>883</v>
      </c>
      <c r="C30" s="125">
        <v>17000</v>
      </c>
      <c r="D30" s="132">
        <v>0.62</v>
      </c>
      <c r="E30" s="132" t="s">
        <v>802</v>
      </c>
      <c r="F30" s="133">
        <v>1740</v>
      </c>
      <c r="G30" s="134" t="s">
        <v>645</v>
      </c>
      <c r="H30" s="134">
        <v>15</v>
      </c>
      <c r="I30" s="133">
        <f t="shared" si="6"/>
        <v>26100</v>
      </c>
      <c r="J30" s="178">
        <v>0.810616621714355</v>
      </c>
      <c r="K30" s="132">
        <f t="shared" si="7"/>
        <v>0.0101327077714294</v>
      </c>
      <c r="L30" s="183"/>
      <c r="M30" s="184"/>
      <c r="N30" s="185"/>
      <c r="O30" s="184"/>
      <c r="P30" s="184"/>
      <c r="Q30" s="185"/>
      <c r="R30" s="197" t="s">
        <v>884</v>
      </c>
      <c r="S30" s="200"/>
      <c r="T30" s="200"/>
      <c r="U30" s="200"/>
      <c r="V30" s="200"/>
      <c r="W30" s="200"/>
      <c r="X30" s="200"/>
      <c r="Y30" s="211"/>
      <c r="Z30" s="211"/>
    </row>
    <row r="31" s="112" customFormat="1" ht="47" customHeight="1" spans="1:26">
      <c r="A31" s="158"/>
      <c r="B31" s="157" t="s">
        <v>885</v>
      </c>
      <c r="C31" s="125">
        <v>17000</v>
      </c>
      <c r="D31" s="132">
        <v>0.62</v>
      </c>
      <c r="E31" s="132" t="s">
        <v>802</v>
      </c>
      <c r="F31" s="133">
        <v>1740</v>
      </c>
      <c r="G31" s="134" t="s">
        <v>645</v>
      </c>
      <c r="H31" s="134">
        <v>150</v>
      </c>
      <c r="I31" s="133">
        <f t="shared" si="6"/>
        <v>261000</v>
      </c>
      <c r="J31" s="178">
        <v>12.9698659474297</v>
      </c>
      <c r="K31" s="132">
        <f t="shared" si="7"/>
        <v>0.162123324342871</v>
      </c>
      <c r="L31" s="183"/>
      <c r="M31" s="184"/>
      <c r="N31" s="185"/>
      <c r="O31" s="184"/>
      <c r="P31" s="184"/>
      <c r="Q31" s="185"/>
      <c r="R31" s="197" t="s">
        <v>886</v>
      </c>
      <c r="S31" s="200"/>
      <c r="T31" s="200"/>
      <c r="U31" s="200"/>
      <c r="V31" s="200"/>
      <c r="W31" s="200"/>
      <c r="X31" s="200"/>
      <c r="Y31" s="211"/>
      <c r="Z31" s="211"/>
    </row>
    <row r="32" s="112" customFormat="1" ht="55" customHeight="1" spans="1:26">
      <c r="A32" s="158"/>
      <c r="B32" s="159" t="s">
        <v>887</v>
      </c>
      <c r="C32" s="160">
        <v>17000</v>
      </c>
      <c r="D32" s="148">
        <v>0.62</v>
      </c>
      <c r="E32" s="148" t="s">
        <v>802</v>
      </c>
      <c r="F32" s="149">
        <v>1740</v>
      </c>
      <c r="G32" s="150" t="s">
        <v>645</v>
      </c>
      <c r="H32" s="150">
        <v>50</v>
      </c>
      <c r="I32" s="149">
        <f t="shared" si="6"/>
        <v>87000</v>
      </c>
      <c r="J32" s="181">
        <v>3.24244838862929</v>
      </c>
      <c r="K32" s="148">
        <f t="shared" si="7"/>
        <v>0.0405306048578661</v>
      </c>
      <c r="L32" s="183"/>
      <c r="M32" s="184"/>
      <c r="N32" s="185"/>
      <c r="O32" s="184"/>
      <c r="P32" s="184"/>
      <c r="Q32" s="185"/>
      <c r="R32" s="201" t="s">
        <v>888</v>
      </c>
      <c r="S32" s="200"/>
      <c r="T32" s="200"/>
      <c r="U32" s="200"/>
      <c r="V32" s="200"/>
      <c r="W32" s="200"/>
      <c r="X32" s="200"/>
      <c r="Y32" s="211"/>
      <c r="Z32" s="211"/>
    </row>
    <row r="33" s="112" customFormat="1" ht="10.5" hidden="1" spans="1:26">
      <c r="A33" s="158"/>
      <c r="B33" s="161"/>
      <c r="C33" s="162"/>
      <c r="D33" s="153"/>
      <c r="E33" s="153"/>
      <c r="F33" s="154"/>
      <c r="G33" s="155"/>
      <c r="H33" s="155"/>
      <c r="I33" s="154"/>
      <c r="J33" s="182"/>
      <c r="K33" s="153"/>
      <c r="L33" s="183"/>
      <c r="M33" s="184"/>
      <c r="N33" s="185"/>
      <c r="O33" s="184"/>
      <c r="P33" s="184"/>
      <c r="Q33" s="185"/>
      <c r="R33" s="202"/>
      <c r="S33" s="200"/>
      <c r="T33" s="200"/>
      <c r="U33" s="200"/>
      <c r="V33" s="200"/>
      <c r="W33" s="200"/>
      <c r="X33" s="200"/>
      <c r="Y33" s="211"/>
      <c r="Z33" s="211"/>
    </row>
    <row r="34" s="112" customFormat="1" ht="60" customHeight="1" spans="1:26">
      <c r="A34" s="163"/>
      <c r="B34" s="157" t="s">
        <v>889</v>
      </c>
      <c r="C34" s="125">
        <v>17000</v>
      </c>
      <c r="D34" s="132">
        <v>0.62</v>
      </c>
      <c r="E34" s="132" t="s">
        <v>802</v>
      </c>
      <c r="F34" s="133">
        <v>1740</v>
      </c>
      <c r="G34" s="132" t="s">
        <v>645</v>
      </c>
      <c r="H34" s="134">
        <v>5</v>
      </c>
      <c r="I34" s="133">
        <f t="shared" ref="I34:I36" si="8">F34*H34</f>
        <v>8700</v>
      </c>
      <c r="J34" s="178">
        <v>0.270204032385774</v>
      </c>
      <c r="K34" s="132">
        <f t="shared" ref="K34:K36" si="9">J34/80</f>
        <v>0.00337755040482217</v>
      </c>
      <c r="L34" s="154"/>
      <c r="M34" s="155"/>
      <c r="N34" s="153"/>
      <c r="O34" s="155"/>
      <c r="P34" s="155"/>
      <c r="Q34" s="153"/>
      <c r="R34" s="197" t="s">
        <v>890</v>
      </c>
      <c r="S34" s="173"/>
      <c r="T34" s="173"/>
      <c r="U34" s="173"/>
      <c r="V34" s="173"/>
      <c r="W34" s="173"/>
      <c r="X34" s="173"/>
      <c r="Y34" s="212"/>
      <c r="Z34" s="212"/>
    </row>
    <row r="35" s="112" customFormat="1" ht="45" customHeight="1" spans="1:26">
      <c r="A35" s="125" t="s">
        <v>891</v>
      </c>
      <c r="B35" s="126" t="s">
        <v>892</v>
      </c>
      <c r="C35" s="125">
        <v>17000</v>
      </c>
      <c r="D35" s="127" t="s">
        <v>802</v>
      </c>
      <c r="E35" s="127">
        <v>0.5263</v>
      </c>
      <c r="F35" s="128">
        <v>5355</v>
      </c>
      <c r="G35" s="128" t="s">
        <v>645</v>
      </c>
      <c r="H35" s="129">
        <v>1</v>
      </c>
      <c r="I35" s="128">
        <f t="shared" si="8"/>
        <v>5355</v>
      </c>
      <c r="J35" s="177">
        <v>0.31578</v>
      </c>
      <c r="K35" s="127">
        <f t="shared" si="9"/>
        <v>0.00394725</v>
      </c>
      <c r="L35" s="128">
        <f>I35+I36+I37+I38+I39+I40+I41</f>
        <v>296961</v>
      </c>
      <c r="M35" s="129">
        <f>J35+J36+J37+J38+J39+J40+J41</f>
        <v>21.3065894181168</v>
      </c>
      <c r="N35" s="127">
        <f>L35/(C35*80)</f>
        <v>0.218353676470588</v>
      </c>
      <c r="O35" s="129">
        <f>I41</f>
        <v>0</v>
      </c>
      <c r="P35" s="129">
        <f>O35/C35</f>
        <v>0</v>
      </c>
      <c r="Q35" s="127">
        <f>O35/L35</f>
        <v>0</v>
      </c>
      <c r="R35" s="194" t="s">
        <v>893</v>
      </c>
      <c r="S35" s="136" t="s">
        <v>894</v>
      </c>
      <c r="T35" s="136" t="s">
        <v>895</v>
      </c>
      <c r="U35" s="136" t="s">
        <v>896</v>
      </c>
      <c r="V35" s="136" t="s">
        <v>897</v>
      </c>
      <c r="W35" s="136" t="s">
        <v>898</v>
      </c>
      <c r="X35" s="136" t="s">
        <v>899</v>
      </c>
      <c r="Y35" s="208" t="s">
        <v>900</v>
      </c>
      <c r="Z35" s="208" t="s">
        <v>820</v>
      </c>
    </row>
    <row r="36" s="112" customFormat="1" ht="31" customHeight="1" spans="1:26">
      <c r="A36" s="125"/>
      <c r="B36" s="164" t="s">
        <v>901</v>
      </c>
      <c r="C36" s="160">
        <v>17000</v>
      </c>
      <c r="D36" s="138">
        <v>0.62</v>
      </c>
      <c r="E36" s="138" t="s">
        <v>802</v>
      </c>
      <c r="F36" s="139">
        <v>1834</v>
      </c>
      <c r="G36" s="139" t="s">
        <v>645</v>
      </c>
      <c r="H36" s="140">
        <v>39</v>
      </c>
      <c r="I36" s="139">
        <f t="shared" si="8"/>
        <v>71526</v>
      </c>
      <c r="J36" s="179">
        <v>13.5089367542336</v>
      </c>
      <c r="K36" s="138">
        <f t="shared" si="9"/>
        <v>0.16886170942792</v>
      </c>
      <c r="L36" s="128"/>
      <c r="M36" s="129"/>
      <c r="N36" s="127"/>
      <c r="O36" s="129"/>
      <c r="P36" s="129"/>
      <c r="Q36" s="127"/>
      <c r="R36" s="203" t="s">
        <v>902</v>
      </c>
      <c r="S36" s="136"/>
      <c r="T36" s="136"/>
      <c r="U36" s="136"/>
      <c r="V36" s="136"/>
      <c r="W36" s="136"/>
      <c r="X36" s="136"/>
      <c r="Y36" s="208"/>
      <c r="Z36" s="194"/>
    </row>
    <row r="37" s="112" customFormat="1" ht="11" customHeight="1" spans="1:26">
      <c r="A37" s="125"/>
      <c r="B37" s="165"/>
      <c r="C37" s="162"/>
      <c r="D37" s="142"/>
      <c r="E37" s="142"/>
      <c r="F37" s="143"/>
      <c r="G37" s="143"/>
      <c r="H37" s="144"/>
      <c r="I37" s="143"/>
      <c r="J37" s="180"/>
      <c r="K37" s="142"/>
      <c r="L37" s="128"/>
      <c r="M37" s="129"/>
      <c r="N37" s="127"/>
      <c r="O37" s="129"/>
      <c r="P37" s="129"/>
      <c r="Q37" s="127"/>
      <c r="R37" s="204"/>
      <c r="S37" s="136"/>
      <c r="T37" s="136"/>
      <c r="U37" s="136"/>
      <c r="V37" s="136"/>
      <c r="W37" s="136"/>
      <c r="X37" s="136"/>
      <c r="Y37" s="208"/>
      <c r="Z37" s="194"/>
    </row>
    <row r="38" s="112" customFormat="1" ht="55" customHeight="1" spans="1:26">
      <c r="A38" s="125"/>
      <c r="B38" s="126" t="s">
        <v>903</v>
      </c>
      <c r="C38" s="125">
        <v>17000</v>
      </c>
      <c r="D38" s="127">
        <v>0.62</v>
      </c>
      <c r="E38" s="127" t="s">
        <v>802</v>
      </c>
      <c r="F38" s="128">
        <f>F36</f>
        <v>1834</v>
      </c>
      <c r="G38" s="128" t="s">
        <v>645</v>
      </c>
      <c r="H38" s="129">
        <v>10</v>
      </c>
      <c r="I38" s="128">
        <f t="shared" ref="I38:I40" si="10">F38*H38</f>
        <v>18340</v>
      </c>
      <c r="J38" s="177">
        <v>1.03914898109489</v>
      </c>
      <c r="K38" s="127">
        <f t="shared" ref="K38:K40" si="11">J38/80</f>
        <v>0.0129893622636861</v>
      </c>
      <c r="L38" s="128"/>
      <c r="M38" s="129"/>
      <c r="N38" s="127"/>
      <c r="O38" s="129"/>
      <c r="P38" s="129"/>
      <c r="Q38" s="127"/>
      <c r="R38" s="194" t="s">
        <v>904</v>
      </c>
      <c r="S38" s="136"/>
      <c r="T38" s="136"/>
      <c r="U38" s="136"/>
      <c r="V38" s="136"/>
      <c r="W38" s="136"/>
      <c r="X38" s="136"/>
      <c r="Y38" s="208"/>
      <c r="Z38" s="194"/>
    </row>
    <row r="39" s="112" customFormat="1" ht="41" customHeight="1" spans="1:26">
      <c r="A39" s="125"/>
      <c r="B39" s="126" t="s">
        <v>905</v>
      </c>
      <c r="C39" s="125">
        <v>17000</v>
      </c>
      <c r="D39" s="127">
        <v>0.62</v>
      </c>
      <c r="E39" s="127" t="s">
        <v>802</v>
      </c>
      <c r="F39" s="128">
        <v>1834</v>
      </c>
      <c r="G39" s="128" t="s">
        <v>645</v>
      </c>
      <c r="H39" s="129">
        <v>70</v>
      </c>
      <c r="I39" s="128">
        <f t="shared" si="10"/>
        <v>128380</v>
      </c>
      <c r="J39" s="177">
        <v>4.15659592437957</v>
      </c>
      <c r="K39" s="127">
        <f t="shared" si="11"/>
        <v>0.0519574490547446</v>
      </c>
      <c r="L39" s="128"/>
      <c r="M39" s="129"/>
      <c r="N39" s="127"/>
      <c r="O39" s="129"/>
      <c r="P39" s="129"/>
      <c r="Q39" s="127"/>
      <c r="R39" s="194" t="s">
        <v>906</v>
      </c>
      <c r="S39" s="136"/>
      <c r="T39" s="136"/>
      <c r="U39" s="136"/>
      <c r="V39" s="136"/>
      <c r="W39" s="136"/>
      <c r="X39" s="136"/>
      <c r="Y39" s="194"/>
      <c r="Z39" s="194"/>
    </row>
    <row r="40" s="112" customFormat="1" ht="66" customHeight="1" spans="1:26">
      <c r="A40" s="125"/>
      <c r="B40" s="164" t="s">
        <v>907</v>
      </c>
      <c r="C40" s="160">
        <v>17000</v>
      </c>
      <c r="D40" s="138">
        <v>0.62</v>
      </c>
      <c r="E40" s="138" t="s">
        <v>802</v>
      </c>
      <c r="F40" s="139">
        <v>1834</v>
      </c>
      <c r="G40" s="139" t="s">
        <v>645</v>
      </c>
      <c r="H40" s="140">
        <v>40</v>
      </c>
      <c r="I40" s="139">
        <f t="shared" si="10"/>
        <v>73360</v>
      </c>
      <c r="J40" s="179">
        <v>2.28612775840876</v>
      </c>
      <c r="K40" s="138">
        <f t="shared" si="11"/>
        <v>0.0285765969801095</v>
      </c>
      <c r="L40" s="128"/>
      <c r="M40" s="129"/>
      <c r="N40" s="127"/>
      <c r="O40" s="129"/>
      <c r="P40" s="129"/>
      <c r="Q40" s="127"/>
      <c r="R40" s="203" t="s">
        <v>908</v>
      </c>
      <c r="S40" s="136"/>
      <c r="T40" s="136"/>
      <c r="U40" s="136"/>
      <c r="V40" s="136"/>
      <c r="W40" s="136"/>
      <c r="X40" s="136"/>
      <c r="Y40" s="213" t="s">
        <v>909</v>
      </c>
      <c r="Z40" s="194"/>
    </row>
    <row r="41" s="112" customFormat="1" ht="10.5" hidden="1" spans="1:26">
      <c r="A41" s="125"/>
      <c r="B41" s="165"/>
      <c r="C41" s="162"/>
      <c r="D41" s="142"/>
      <c r="E41" s="142"/>
      <c r="F41" s="143"/>
      <c r="G41" s="143"/>
      <c r="H41" s="144"/>
      <c r="I41" s="143"/>
      <c r="J41" s="180"/>
      <c r="K41" s="142"/>
      <c r="L41" s="128"/>
      <c r="M41" s="129"/>
      <c r="N41" s="127"/>
      <c r="O41" s="129"/>
      <c r="P41" s="129"/>
      <c r="Q41" s="127"/>
      <c r="R41" s="204"/>
      <c r="S41" s="136"/>
      <c r="T41" s="136"/>
      <c r="U41" s="136"/>
      <c r="V41" s="136"/>
      <c r="W41" s="136"/>
      <c r="X41" s="136"/>
      <c r="Y41" s="214"/>
      <c r="Z41" s="194"/>
    </row>
    <row r="42" s="112" customFormat="1" ht="42" customHeight="1" spans="1:26">
      <c r="A42" s="130" t="s">
        <v>910</v>
      </c>
      <c r="B42" s="157" t="s">
        <v>911</v>
      </c>
      <c r="C42" s="125">
        <v>17000</v>
      </c>
      <c r="D42" s="132" t="s">
        <v>802</v>
      </c>
      <c r="E42" s="132" t="s">
        <v>802</v>
      </c>
      <c r="F42" s="133">
        <v>927</v>
      </c>
      <c r="G42" s="132" t="s">
        <v>645</v>
      </c>
      <c r="H42" s="134">
        <v>1</v>
      </c>
      <c r="I42" s="133">
        <f t="shared" ref="I42:I47" si="12">F42*H42</f>
        <v>927</v>
      </c>
      <c r="J42" s="178">
        <v>0.060327427110643</v>
      </c>
      <c r="K42" s="132">
        <f t="shared" ref="K42:K47" si="13">J42/80</f>
        <v>0.000754092838883038</v>
      </c>
      <c r="L42" s="133">
        <f>I42+I43+I44+I45+I46+I47+I48</f>
        <v>161527</v>
      </c>
      <c r="M42" s="134">
        <f>J42+J43+J44+J45+J46+J47+J48</f>
        <v>13.9478034029696</v>
      </c>
      <c r="N42" s="132">
        <f>L42/(C42*80)</f>
        <v>0.118769852941176</v>
      </c>
      <c r="O42" s="134">
        <f>I48</f>
        <v>0</v>
      </c>
      <c r="P42" s="134">
        <f>J48</f>
        <v>0</v>
      </c>
      <c r="Q42" s="132">
        <f>O42/L42</f>
        <v>0</v>
      </c>
      <c r="R42" s="197" t="s">
        <v>912</v>
      </c>
      <c r="S42" s="131" t="s">
        <v>913</v>
      </c>
      <c r="T42" s="131" t="s">
        <v>895</v>
      </c>
      <c r="U42" s="131" t="s">
        <v>896</v>
      </c>
      <c r="V42" s="131" t="s">
        <v>914</v>
      </c>
      <c r="W42" s="131" t="s">
        <v>898</v>
      </c>
      <c r="X42" s="131" t="s">
        <v>899</v>
      </c>
      <c r="Y42" s="209" t="s">
        <v>915</v>
      </c>
      <c r="Z42" s="209" t="s">
        <v>820</v>
      </c>
    </row>
    <row r="43" s="112" customFormat="1" ht="10.5" spans="1:26">
      <c r="A43" s="130"/>
      <c r="B43" s="159" t="s">
        <v>901</v>
      </c>
      <c r="C43" s="160">
        <v>17000</v>
      </c>
      <c r="D43" s="148">
        <v>0.53</v>
      </c>
      <c r="E43" s="148" t="s">
        <v>802</v>
      </c>
      <c r="F43" s="149">
        <v>803</v>
      </c>
      <c r="G43" s="148" t="s">
        <v>645</v>
      </c>
      <c r="H43" s="150">
        <v>80</v>
      </c>
      <c r="I43" s="149">
        <v>64240</v>
      </c>
      <c r="J43" s="181">
        <v>10.68</v>
      </c>
      <c r="K43" s="148">
        <f t="shared" si="13"/>
        <v>0.1335</v>
      </c>
      <c r="L43" s="133"/>
      <c r="M43" s="134"/>
      <c r="N43" s="132"/>
      <c r="O43" s="134"/>
      <c r="P43" s="134"/>
      <c r="Q43" s="132"/>
      <c r="R43" s="201" t="s">
        <v>916</v>
      </c>
      <c r="S43" s="131"/>
      <c r="T43" s="131"/>
      <c r="U43" s="131"/>
      <c r="V43" s="131"/>
      <c r="W43" s="131"/>
      <c r="X43" s="131"/>
      <c r="Y43" s="209"/>
      <c r="Z43" s="197"/>
    </row>
    <row r="44" s="112" customFormat="1" ht="37" customHeight="1" spans="1:26">
      <c r="A44" s="166"/>
      <c r="B44" s="167"/>
      <c r="C44" s="168"/>
      <c r="D44" s="169"/>
      <c r="E44" s="169"/>
      <c r="F44" s="170"/>
      <c r="G44" s="169"/>
      <c r="H44" s="171"/>
      <c r="I44" s="170"/>
      <c r="J44" s="182"/>
      <c r="K44" s="169"/>
      <c r="L44" s="186"/>
      <c r="M44" s="187"/>
      <c r="N44" s="188"/>
      <c r="O44" s="187"/>
      <c r="P44" s="187"/>
      <c r="Q44" s="188"/>
      <c r="R44" s="205"/>
      <c r="S44" s="206"/>
      <c r="T44" s="206"/>
      <c r="U44" s="206"/>
      <c r="V44" s="206"/>
      <c r="W44" s="206"/>
      <c r="X44" s="206"/>
      <c r="Y44" s="215"/>
      <c r="Z44" s="216"/>
    </row>
    <row r="45" s="112" customFormat="1" ht="94" customHeight="1" spans="1:26">
      <c r="A45" s="130"/>
      <c r="B45" s="157" t="s">
        <v>903</v>
      </c>
      <c r="C45" s="125">
        <v>17000</v>
      </c>
      <c r="D45" s="132">
        <v>0.62</v>
      </c>
      <c r="E45" s="132" t="s">
        <v>802</v>
      </c>
      <c r="F45" s="133">
        <v>803</v>
      </c>
      <c r="G45" s="132" t="s">
        <v>645</v>
      </c>
      <c r="H45" s="134">
        <v>10</v>
      </c>
      <c r="I45" s="133">
        <f t="shared" si="12"/>
        <v>8030</v>
      </c>
      <c r="J45" s="178">
        <v>0.609014425796008</v>
      </c>
      <c r="K45" s="132">
        <f t="shared" si="13"/>
        <v>0.0076126803224501</v>
      </c>
      <c r="L45" s="133"/>
      <c r="M45" s="134"/>
      <c r="N45" s="132"/>
      <c r="O45" s="134"/>
      <c r="P45" s="134"/>
      <c r="Q45" s="132"/>
      <c r="R45" s="197" t="s">
        <v>904</v>
      </c>
      <c r="S45" s="131"/>
      <c r="T45" s="131"/>
      <c r="U45" s="131"/>
      <c r="V45" s="131"/>
      <c r="W45" s="131"/>
      <c r="X45" s="131"/>
      <c r="Y45" s="209"/>
      <c r="Z45" s="197"/>
    </row>
    <row r="46" s="112" customFormat="1" ht="29" customHeight="1" spans="1:26">
      <c r="A46" s="130"/>
      <c r="B46" s="157" t="s">
        <v>905</v>
      </c>
      <c r="C46" s="125">
        <v>17000</v>
      </c>
      <c r="D46" s="132">
        <v>0.62</v>
      </c>
      <c r="E46" s="132" t="s">
        <v>802</v>
      </c>
      <c r="F46" s="133">
        <v>803</v>
      </c>
      <c r="G46" s="132" t="s">
        <v>645</v>
      </c>
      <c r="H46" s="134">
        <v>70</v>
      </c>
      <c r="I46" s="133">
        <f t="shared" si="12"/>
        <v>56210</v>
      </c>
      <c r="J46" s="178">
        <v>1.62403846878935</v>
      </c>
      <c r="K46" s="132">
        <f t="shared" si="13"/>
        <v>0.0203004808598669</v>
      </c>
      <c r="L46" s="133"/>
      <c r="M46" s="134"/>
      <c r="N46" s="132"/>
      <c r="O46" s="134"/>
      <c r="P46" s="134"/>
      <c r="Q46" s="132"/>
      <c r="R46" s="197" t="s">
        <v>906</v>
      </c>
      <c r="S46" s="131"/>
      <c r="T46" s="131"/>
      <c r="U46" s="131"/>
      <c r="V46" s="131"/>
      <c r="W46" s="131"/>
      <c r="X46" s="131"/>
      <c r="Y46" s="209"/>
      <c r="Z46" s="197"/>
    </row>
    <row r="47" s="112" customFormat="1" ht="78" customHeight="1" spans="1:26">
      <c r="A47" s="130"/>
      <c r="B47" s="159" t="s">
        <v>917</v>
      </c>
      <c r="C47" s="160">
        <v>17000</v>
      </c>
      <c r="D47" s="148">
        <v>0.62</v>
      </c>
      <c r="E47" s="148" t="s">
        <v>802</v>
      </c>
      <c r="F47" s="149">
        <v>803</v>
      </c>
      <c r="G47" s="148" t="s">
        <v>645</v>
      </c>
      <c r="H47" s="150">
        <v>40</v>
      </c>
      <c r="I47" s="149">
        <f t="shared" si="12"/>
        <v>32120</v>
      </c>
      <c r="J47" s="181">
        <v>0.974423081273613</v>
      </c>
      <c r="K47" s="148">
        <f t="shared" si="13"/>
        <v>0.0121802885159202</v>
      </c>
      <c r="L47" s="133"/>
      <c r="M47" s="134"/>
      <c r="N47" s="132"/>
      <c r="O47" s="134"/>
      <c r="P47" s="134"/>
      <c r="Q47" s="132"/>
      <c r="R47" s="201" t="s">
        <v>918</v>
      </c>
      <c r="S47" s="131"/>
      <c r="T47" s="131"/>
      <c r="U47" s="131"/>
      <c r="V47" s="131"/>
      <c r="W47" s="131"/>
      <c r="X47" s="131"/>
      <c r="Y47" s="210" t="s">
        <v>919</v>
      </c>
      <c r="Z47" s="197"/>
    </row>
    <row r="48" s="112" customFormat="1" ht="10.5" hidden="1" spans="1:26">
      <c r="A48" s="130"/>
      <c r="B48" s="161"/>
      <c r="C48" s="162"/>
      <c r="D48" s="153"/>
      <c r="E48" s="153"/>
      <c r="F48" s="154"/>
      <c r="G48" s="153"/>
      <c r="H48" s="155"/>
      <c r="I48" s="154"/>
      <c r="J48" s="182"/>
      <c r="K48" s="153"/>
      <c r="L48" s="133"/>
      <c r="M48" s="134"/>
      <c r="N48" s="132"/>
      <c r="O48" s="134"/>
      <c r="P48" s="134"/>
      <c r="Q48" s="132"/>
      <c r="R48" s="202"/>
      <c r="S48" s="131"/>
      <c r="T48" s="131"/>
      <c r="U48" s="131"/>
      <c r="V48" s="131"/>
      <c r="W48" s="131"/>
      <c r="X48" s="131"/>
      <c r="Y48" s="212"/>
      <c r="Z48" s="197"/>
    </row>
    <row r="49" s="112" customFormat="1" ht="39" customHeight="1" spans="1:26">
      <c r="A49" s="125" t="s">
        <v>920</v>
      </c>
      <c r="B49" s="136" t="s">
        <v>921</v>
      </c>
      <c r="C49" s="125">
        <v>17000</v>
      </c>
      <c r="D49" s="127">
        <v>0.8</v>
      </c>
      <c r="E49" s="127">
        <v>0.004</v>
      </c>
      <c r="F49" s="128">
        <v>60</v>
      </c>
      <c r="G49" s="128" t="s">
        <v>645</v>
      </c>
      <c r="H49" s="129">
        <v>10</v>
      </c>
      <c r="I49" s="128">
        <f t="shared" ref="I49:I52" si="14">F49*H49</f>
        <v>600</v>
      </c>
      <c r="J49" s="177">
        <v>0.16</v>
      </c>
      <c r="K49" s="127">
        <f t="shared" ref="K49:K52" si="15">J49/80</f>
        <v>0.002</v>
      </c>
      <c r="L49" s="128">
        <f>I49+I50+I51+I52+I53</f>
        <v>8280</v>
      </c>
      <c r="M49" s="129">
        <f>J49+J50+J51+J52+J53</f>
        <v>1.568</v>
      </c>
      <c r="N49" s="127">
        <f>L49/(C49*80)</f>
        <v>0.00608823529411765</v>
      </c>
      <c r="O49" s="129">
        <f>I53</f>
        <v>0</v>
      </c>
      <c r="P49" s="129">
        <f>J53</f>
        <v>0</v>
      </c>
      <c r="Q49" s="127">
        <f>O49/L49</f>
        <v>0</v>
      </c>
      <c r="R49" s="192" t="s">
        <v>922</v>
      </c>
      <c r="S49" s="125" t="s">
        <v>923</v>
      </c>
      <c r="T49" s="136" t="s">
        <v>924</v>
      </c>
      <c r="U49" s="136" t="s">
        <v>925</v>
      </c>
      <c r="V49" s="125" t="s">
        <v>802</v>
      </c>
      <c r="W49" s="125" t="s">
        <v>802</v>
      </c>
      <c r="X49" s="125" t="s">
        <v>802</v>
      </c>
      <c r="Y49" s="208" t="s">
        <v>926</v>
      </c>
      <c r="Z49" s="208" t="s">
        <v>820</v>
      </c>
    </row>
    <row r="50" s="112" customFormat="1" ht="10.5" spans="1:26">
      <c r="A50" s="125"/>
      <c r="B50" s="137" t="s">
        <v>901</v>
      </c>
      <c r="C50" s="160">
        <v>17000</v>
      </c>
      <c r="D50" s="138">
        <v>0.8</v>
      </c>
      <c r="E50" s="138">
        <v>0.004</v>
      </c>
      <c r="F50" s="139">
        <v>60</v>
      </c>
      <c r="G50" s="139" t="s">
        <v>645</v>
      </c>
      <c r="H50" s="140">
        <v>48</v>
      </c>
      <c r="I50" s="139">
        <f t="shared" si="14"/>
        <v>2880</v>
      </c>
      <c r="J50" s="179">
        <v>0.768</v>
      </c>
      <c r="K50" s="138">
        <f t="shared" si="15"/>
        <v>0.0096</v>
      </c>
      <c r="L50" s="128"/>
      <c r="M50" s="129"/>
      <c r="N50" s="127"/>
      <c r="O50" s="129"/>
      <c r="P50" s="129"/>
      <c r="Q50" s="127"/>
      <c r="R50" s="203" t="s">
        <v>927</v>
      </c>
      <c r="S50" s="125"/>
      <c r="T50" s="136"/>
      <c r="U50" s="136"/>
      <c r="V50" s="125"/>
      <c r="W50" s="125"/>
      <c r="X50" s="125"/>
      <c r="Y50" s="208"/>
      <c r="Z50" s="208"/>
    </row>
    <row r="51" s="112" customFormat="1" ht="36" customHeight="1" spans="1:26">
      <c r="A51" s="125"/>
      <c r="B51" s="141"/>
      <c r="C51" s="162"/>
      <c r="D51" s="142"/>
      <c r="E51" s="142"/>
      <c r="F51" s="143"/>
      <c r="G51" s="143"/>
      <c r="H51" s="144"/>
      <c r="I51" s="143"/>
      <c r="J51" s="180"/>
      <c r="K51" s="142"/>
      <c r="L51" s="128"/>
      <c r="M51" s="129"/>
      <c r="N51" s="127"/>
      <c r="O51" s="129"/>
      <c r="P51" s="129"/>
      <c r="Q51" s="127"/>
      <c r="R51" s="204"/>
      <c r="S51" s="125"/>
      <c r="T51" s="136"/>
      <c r="U51" s="136"/>
      <c r="V51" s="125"/>
      <c r="W51" s="125"/>
      <c r="X51" s="125"/>
      <c r="Y51" s="208"/>
      <c r="Z51" s="208"/>
    </row>
    <row r="52" s="112" customFormat="1" ht="10.5" spans="1:26">
      <c r="A52" s="125"/>
      <c r="B52" s="137" t="s">
        <v>928</v>
      </c>
      <c r="C52" s="160">
        <v>17000</v>
      </c>
      <c r="D52" s="138">
        <v>0.8</v>
      </c>
      <c r="E52" s="138">
        <v>0.004</v>
      </c>
      <c r="F52" s="139">
        <v>60</v>
      </c>
      <c r="G52" s="139" t="s">
        <v>645</v>
      </c>
      <c r="H52" s="140">
        <v>80</v>
      </c>
      <c r="I52" s="139">
        <f t="shared" si="14"/>
        <v>4800</v>
      </c>
      <c r="J52" s="179">
        <v>0.64</v>
      </c>
      <c r="K52" s="138">
        <f t="shared" si="15"/>
        <v>0.008</v>
      </c>
      <c r="L52" s="128"/>
      <c r="M52" s="129"/>
      <c r="N52" s="127"/>
      <c r="O52" s="129"/>
      <c r="P52" s="129"/>
      <c r="Q52" s="127"/>
      <c r="R52" s="195" t="s">
        <v>929</v>
      </c>
      <c r="S52" s="125"/>
      <c r="T52" s="136"/>
      <c r="U52" s="136"/>
      <c r="V52" s="125"/>
      <c r="W52" s="125"/>
      <c r="X52" s="125"/>
      <c r="Y52" s="208"/>
      <c r="Z52" s="208"/>
    </row>
    <row r="53" s="112" customFormat="1" ht="20" customHeight="1" spans="1:26">
      <c r="A53" s="125"/>
      <c r="B53" s="141"/>
      <c r="C53" s="162"/>
      <c r="D53" s="142"/>
      <c r="E53" s="142"/>
      <c r="F53" s="143"/>
      <c r="G53" s="143"/>
      <c r="H53" s="144"/>
      <c r="I53" s="143"/>
      <c r="J53" s="180"/>
      <c r="K53" s="142"/>
      <c r="L53" s="128"/>
      <c r="M53" s="129"/>
      <c r="N53" s="127"/>
      <c r="O53" s="129"/>
      <c r="P53" s="129"/>
      <c r="Q53" s="127"/>
      <c r="R53" s="196"/>
      <c r="S53" s="125"/>
      <c r="T53" s="136"/>
      <c r="U53" s="136"/>
      <c r="V53" s="125"/>
      <c r="W53" s="125"/>
      <c r="X53" s="125"/>
      <c r="Y53" s="208"/>
      <c r="Z53" s="208"/>
    </row>
    <row r="54" s="112" customFormat="1" ht="56" customHeight="1" spans="1:26">
      <c r="A54" s="130" t="s">
        <v>930</v>
      </c>
      <c r="B54" s="131" t="s">
        <v>931</v>
      </c>
      <c r="C54" s="125">
        <v>17000</v>
      </c>
      <c r="D54" s="132" t="s">
        <v>802</v>
      </c>
      <c r="E54" s="132" t="s">
        <v>802</v>
      </c>
      <c r="F54" s="133">
        <v>10</v>
      </c>
      <c r="G54" s="132" t="s">
        <v>802</v>
      </c>
      <c r="H54" s="134">
        <v>80</v>
      </c>
      <c r="I54" s="133">
        <f t="shared" ref="I54:I57" si="16">F54*H54</f>
        <v>800</v>
      </c>
      <c r="J54" s="178">
        <v>0.00482619416885144</v>
      </c>
      <c r="K54" s="132">
        <f t="shared" ref="K54:K57" si="17">J54/80</f>
        <v>6.0327427110643e-5</v>
      </c>
      <c r="L54" s="133">
        <f>I54+I55+I56+I57+I58</f>
        <v>3250</v>
      </c>
      <c r="M54" s="134">
        <f>J54+J55+J56+J57+J58</f>
        <v>1.22982619416885</v>
      </c>
      <c r="N54" s="132">
        <f>L54/(C54*80)</f>
        <v>0.00238970588235294</v>
      </c>
      <c r="O54" s="134">
        <f>I58</f>
        <v>0</v>
      </c>
      <c r="P54" s="134">
        <f>J58</f>
        <v>0</v>
      </c>
      <c r="Q54" s="132">
        <f>O54/L54</f>
        <v>0</v>
      </c>
      <c r="R54" s="193" t="s">
        <v>932</v>
      </c>
      <c r="S54" s="130" t="s">
        <v>933</v>
      </c>
      <c r="T54" s="131" t="s">
        <v>934</v>
      </c>
      <c r="U54" s="131" t="s">
        <v>935</v>
      </c>
      <c r="V54" s="130" t="s">
        <v>802</v>
      </c>
      <c r="W54" s="130" t="s">
        <v>802</v>
      </c>
      <c r="X54" s="130" t="s">
        <v>802</v>
      </c>
      <c r="Y54" s="209" t="s">
        <v>936</v>
      </c>
      <c r="Z54" s="209" t="s">
        <v>820</v>
      </c>
    </row>
    <row r="55" s="112" customFormat="1" ht="46" customHeight="1" spans="1:26">
      <c r="A55" s="130"/>
      <c r="B55" s="131" t="s">
        <v>937</v>
      </c>
      <c r="C55" s="125">
        <v>17000</v>
      </c>
      <c r="D55" s="132">
        <v>0.9</v>
      </c>
      <c r="E55" s="132">
        <v>0.005</v>
      </c>
      <c r="F55" s="133">
        <v>10</v>
      </c>
      <c r="G55" s="133" t="s">
        <v>645</v>
      </c>
      <c r="H55" s="134">
        <v>70</v>
      </c>
      <c r="I55" s="133">
        <f t="shared" si="16"/>
        <v>700</v>
      </c>
      <c r="J55" s="178">
        <v>0.35</v>
      </c>
      <c r="K55" s="132">
        <f t="shared" si="17"/>
        <v>0.004375</v>
      </c>
      <c r="L55" s="133"/>
      <c r="M55" s="134"/>
      <c r="N55" s="132"/>
      <c r="O55" s="134"/>
      <c r="P55" s="134"/>
      <c r="Q55" s="132"/>
      <c r="R55" s="193" t="s">
        <v>938</v>
      </c>
      <c r="S55" s="130"/>
      <c r="T55" s="131"/>
      <c r="U55" s="131"/>
      <c r="V55" s="130"/>
      <c r="W55" s="130"/>
      <c r="X55" s="130"/>
      <c r="Y55" s="209"/>
      <c r="Z55" s="209"/>
    </row>
    <row r="56" s="112" customFormat="1" ht="41" customHeight="1" spans="1:26">
      <c r="A56" s="130"/>
      <c r="B56" s="131" t="s">
        <v>939</v>
      </c>
      <c r="C56" s="125">
        <v>17000</v>
      </c>
      <c r="D56" s="132">
        <v>0.9</v>
      </c>
      <c r="E56" s="132">
        <v>0.005</v>
      </c>
      <c r="F56" s="133">
        <v>10</v>
      </c>
      <c r="G56" s="133" t="s">
        <v>645</v>
      </c>
      <c r="H56" s="134">
        <v>155</v>
      </c>
      <c r="I56" s="133">
        <f t="shared" si="16"/>
        <v>1550</v>
      </c>
      <c r="J56" s="178">
        <v>0.775</v>
      </c>
      <c r="K56" s="132">
        <f t="shared" si="17"/>
        <v>0.0096875</v>
      </c>
      <c r="L56" s="133"/>
      <c r="M56" s="134"/>
      <c r="N56" s="132"/>
      <c r="O56" s="134"/>
      <c r="P56" s="134"/>
      <c r="Q56" s="132"/>
      <c r="R56" s="197" t="s">
        <v>940</v>
      </c>
      <c r="S56" s="130"/>
      <c r="T56" s="131"/>
      <c r="U56" s="131"/>
      <c r="V56" s="130"/>
      <c r="W56" s="130"/>
      <c r="X56" s="130"/>
      <c r="Y56" s="209"/>
      <c r="Z56" s="209"/>
    </row>
    <row r="57" s="112" customFormat="1" ht="41" customHeight="1" spans="1:26">
      <c r="A57" s="130"/>
      <c r="B57" s="172" t="s">
        <v>941</v>
      </c>
      <c r="C57" s="160">
        <v>17000</v>
      </c>
      <c r="D57" s="148">
        <v>0.9</v>
      </c>
      <c r="E57" s="148">
        <v>0.005</v>
      </c>
      <c r="F57" s="149">
        <v>10</v>
      </c>
      <c r="G57" s="149" t="s">
        <v>645</v>
      </c>
      <c r="H57" s="150">
        <v>20</v>
      </c>
      <c r="I57" s="149">
        <f t="shared" si="16"/>
        <v>200</v>
      </c>
      <c r="J57" s="181">
        <v>0.1</v>
      </c>
      <c r="K57" s="148">
        <f t="shared" si="17"/>
        <v>0.00125</v>
      </c>
      <c r="L57" s="133"/>
      <c r="M57" s="134"/>
      <c r="N57" s="132"/>
      <c r="O57" s="134"/>
      <c r="P57" s="134"/>
      <c r="Q57" s="132"/>
      <c r="R57" s="198" t="s">
        <v>942</v>
      </c>
      <c r="S57" s="130"/>
      <c r="T57" s="131"/>
      <c r="U57" s="131"/>
      <c r="V57" s="130"/>
      <c r="W57" s="130"/>
      <c r="X57" s="130"/>
      <c r="Y57" s="209"/>
      <c r="Z57" s="209"/>
    </row>
    <row r="58" s="112" customFormat="1" ht="10.5" spans="1:26">
      <c r="A58" s="130"/>
      <c r="B58" s="173"/>
      <c r="C58" s="162"/>
      <c r="D58" s="153"/>
      <c r="E58" s="153"/>
      <c r="F58" s="154"/>
      <c r="G58" s="154"/>
      <c r="H58" s="155"/>
      <c r="I58" s="154"/>
      <c r="J58" s="182"/>
      <c r="K58" s="153"/>
      <c r="L58" s="133"/>
      <c r="M58" s="134"/>
      <c r="N58" s="132"/>
      <c r="O58" s="134"/>
      <c r="P58" s="134"/>
      <c r="Q58" s="132"/>
      <c r="R58" s="199"/>
      <c r="S58" s="130"/>
      <c r="T58" s="131"/>
      <c r="U58" s="131"/>
      <c r="V58" s="130"/>
      <c r="W58" s="130"/>
      <c r="X58" s="130"/>
      <c r="Y58" s="209"/>
      <c r="Z58" s="209"/>
    </row>
    <row r="59" s="112" customFormat="1" ht="56" customHeight="1" spans="1:26">
      <c r="A59" s="125" t="s">
        <v>943</v>
      </c>
      <c r="B59" s="136" t="s">
        <v>944</v>
      </c>
      <c r="C59" s="125">
        <v>17000</v>
      </c>
      <c r="D59" s="127">
        <v>0.7</v>
      </c>
      <c r="E59" s="127" t="s">
        <v>802</v>
      </c>
      <c r="F59" s="128">
        <f>C59*8.72%*D59</f>
        <v>1037.68</v>
      </c>
      <c r="G59" s="128" t="s">
        <v>645</v>
      </c>
      <c r="H59" s="129">
        <v>8</v>
      </c>
      <c r="I59" s="128">
        <f t="shared" ref="I59:I69" si="18">F59*H59</f>
        <v>8301.44</v>
      </c>
      <c r="J59" s="177">
        <v>1.526</v>
      </c>
      <c r="K59" s="127">
        <f t="shared" ref="K59:K69" si="19">J59/80</f>
        <v>0.019075</v>
      </c>
      <c r="L59" s="128">
        <f>I59+I60</f>
        <v>14584.64</v>
      </c>
      <c r="M59" s="129">
        <f>J59+J60</f>
        <v>2.0804</v>
      </c>
      <c r="N59" s="127">
        <f>L59/(C59*80)</f>
        <v>0.010724</v>
      </c>
      <c r="O59" s="129" t="s">
        <v>802</v>
      </c>
      <c r="P59" s="129" t="s">
        <v>802</v>
      </c>
      <c r="Q59" s="127" t="s">
        <v>802</v>
      </c>
      <c r="R59" s="192" t="s">
        <v>945</v>
      </c>
      <c r="S59" s="136" t="s">
        <v>946</v>
      </c>
      <c r="T59" s="136" t="s">
        <v>947</v>
      </c>
      <c r="U59" s="136" t="s">
        <v>948</v>
      </c>
      <c r="V59" s="125" t="s">
        <v>802</v>
      </c>
      <c r="W59" s="125" t="s">
        <v>802</v>
      </c>
      <c r="X59" s="125" t="s">
        <v>802</v>
      </c>
      <c r="Y59" s="208" t="s">
        <v>949</v>
      </c>
      <c r="Z59" s="208" t="s">
        <v>820</v>
      </c>
    </row>
    <row r="60" s="112" customFormat="1" ht="67" customHeight="1" spans="1:26">
      <c r="A60" s="125"/>
      <c r="B60" s="136" t="s">
        <v>950</v>
      </c>
      <c r="C60" s="125">
        <v>17000</v>
      </c>
      <c r="D60" s="127">
        <v>0.77</v>
      </c>
      <c r="E60" s="127" t="s">
        <v>802</v>
      </c>
      <c r="F60" s="128">
        <f>C60*0.01*0.77*6</f>
        <v>785.4</v>
      </c>
      <c r="G60" s="128" t="s">
        <v>645</v>
      </c>
      <c r="H60" s="129">
        <v>8</v>
      </c>
      <c r="I60" s="128">
        <f t="shared" si="18"/>
        <v>6283.2</v>
      </c>
      <c r="J60" s="177">
        <v>0.5544</v>
      </c>
      <c r="K60" s="127">
        <f t="shared" si="19"/>
        <v>0.00693</v>
      </c>
      <c r="L60" s="128"/>
      <c r="M60" s="129"/>
      <c r="N60" s="127"/>
      <c r="O60" s="129"/>
      <c r="P60" s="129"/>
      <c r="Q60" s="127"/>
      <c r="R60" s="194" t="s">
        <v>951</v>
      </c>
      <c r="S60" s="136"/>
      <c r="T60" s="136" t="s">
        <v>952</v>
      </c>
      <c r="U60" s="136" t="s">
        <v>865</v>
      </c>
      <c r="V60" s="125"/>
      <c r="W60" s="125"/>
      <c r="X60" s="125"/>
      <c r="Y60" s="194"/>
      <c r="Z60" s="194"/>
    </row>
    <row r="61" s="112" customFormat="1" ht="21" spans="1:26">
      <c r="A61" s="130" t="s">
        <v>953</v>
      </c>
      <c r="B61" s="131" t="s">
        <v>954</v>
      </c>
      <c r="C61" s="125">
        <v>17000</v>
      </c>
      <c r="D61" s="132" t="s">
        <v>802</v>
      </c>
      <c r="E61" s="132" t="s">
        <v>802</v>
      </c>
      <c r="F61" s="174">
        <v>17000</v>
      </c>
      <c r="G61" s="174" t="s">
        <v>778</v>
      </c>
      <c r="H61" s="174">
        <v>1</v>
      </c>
      <c r="I61" s="133">
        <f t="shared" si="18"/>
        <v>17000</v>
      </c>
      <c r="J61" s="178">
        <v>1</v>
      </c>
      <c r="K61" s="132">
        <f t="shared" si="19"/>
        <v>0.0125</v>
      </c>
      <c r="L61" s="174">
        <f>I61+I62+I63+I64</f>
        <v>68000</v>
      </c>
      <c r="M61" s="174">
        <f>J61+J62+J63+J64</f>
        <v>4</v>
      </c>
      <c r="N61" s="189">
        <f>L61/(C61*80)</f>
        <v>0.05</v>
      </c>
      <c r="O61" s="174" t="s">
        <v>802</v>
      </c>
      <c r="P61" s="174" t="s">
        <v>802</v>
      </c>
      <c r="Q61" s="174" t="s">
        <v>802</v>
      </c>
      <c r="R61" s="197" t="s">
        <v>955</v>
      </c>
      <c r="S61" s="131" t="s">
        <v>956</v>
      </c>
      <c r="T61" s="131" t="s">
        <v>957</v>
      </c>
      <c r="U61" s="131" t="s">
        <v>958</v>
      </c>
      <c r="V61" s="174" t="s">
        <v>802</v>
      </c>
      <c r="W61" s="174" t="s">
        <v>802</v>
      </c>
      <c r="X61" s="174" t="s">
        <v>802</v>
      </c>
      <c r="Y61" s="209" t="s">
        <v>959</v>
      </c>
      <c r="Z61" s="209" t="s">
        <v>808</v>
      </c>
    </row>
    <row r="62" s="112" customFormat="1" ht="21" spans="1:26">
      <c r="A62" s="130"/>
      <c r="B62" s="131" t="s">
        <v>732</v>
      </c>
      <c r="C62" s="125">
        <v>17000</v>
      </c>
      <c r="D62" s="175" t="s">
        <v>960</v>
      </c>
      <c r="E62" s="132" t="s">
        <v>802</v>
      </c>
      <c r="F62" s="174">
        <v>17000</v>
      </c>
      <c r="G62" s="174" t="s">
        <v>778</v>
      </c>
      <c r="H62" s="174">
        <v>1</v>
      </c>
      <c r="I62" s="133">
        <f t="shared" si="18"/>
        <v>17000</v>
      </c>
      <c r="J62" s="178">
        <v>1</v>
      </c>
      <c r="K62" s="132">
        <f t="shared" si="19"/>
        <v>0.0125</v>
      </c>
      <c r="L62" s="174"/>
      <c r="M62" s="174"/>
      <c r="N62" s="189"/>
      <c r="O62" s="174"/>
      <c r="P62" s="174"/>
      <c r="Q62" s="174"/>
      <c r="R62" s="197"/>
      <c r="S62" s="131"/>
      <c r="T62" s="131"/>
      <c r="U62" s="131"/>
      <c r="V62" s="174"/>
      <c r="W62" s="174"/>
      <c r="X62" s="174"/>
      <c r="Y62" s="197"/>
      <c r="Z62" s="197"/>
    </row>
    <row r="63" s="112" customFormat="1" ht="21" spans="1:26">
      <c r="A63" s="130"/>
      <c r="B63" s="131" t="s">
        <v>734</v>
      </c>
      <c r="C63" s="125">
        <v>17000</v>
      </c>
      <c r="D63" s="175" t="s">
        <v>960</v>
      </c>
      <c r="E63" s="132" t="s">
        <v>802</v>
      </c>
      <c r="F63" s="174">
        <v>17000</v>
      </c>
      <c r="G63" s="174" t="s">
        <v>778</v>
      </c>
      <c r="H63" s="174">
        <v>1</v>
      </c>
      <c r="I63" s="133">
        <f t="shared" si="18"/>
        <v>17000</v>
      </c>
      <c r="J63" s="178">
        <v>1</v>
      </c>
      <c r="K63" s="132">
        <f t="shared" si="19"/>
        <v>0.0125</v>
      </c>
      <c r="L63" s="174"/>
      <c r="M63" s="174"/>
      <c r="N63" s="189"/>
      <c r="O63" s="174"/>
      <c r="P63" s="174"/>
      <c r="Q63" s="174"/>
      <c r="R63" s="197"/>
      <c r="S63" s="131"/>
      <c r="T63" s="131"/>
      <c r="U63" s="131"/>
      <c r="V63" s="174"/>
      <c r="W63" s="174"/>
      <c r="X63" s="174"/>
      <c r="Y63" s="197"/>
      <c r="Z63" s="197"/>
    </row>
    <row r="64" s="112" customFormat="1" ht="21" spans="1:26">
      <c r="A64" s="130"/>
      <c r="B64" s="131" t="s">
        <v>736</v>
      </c>
      <c r="C64" s="125">
        <v>17000</v>
      </c>
      <c r="D64" s="132" t="s">
        <v>802</v>
      </c>
      <c r="E64" s="132" t="s">
        <v>802</v>
      </c>
      <c r="F64" s="174">
        <v>17000</v>
      </c>
      <c r="G64" s="174" t="s">
        <v>778</v>
      </c>
      <c r="H64" s="174">
        <v>1</v>
      </c>
      <c r="I64" s="133">
        <f t="shared" si="18"/>
        <v>17000</v>
      </c>
      <c r="J64" s="178">
        <v>1</v>
      </c>
      <c r="K64" s="132">
        <f t="shared" si="19"/>
        <v>0.0125</v>
      </c>
      <c r="L64" s="174"/>
      <c r="M64" s="174"/>
      <c r="N64" s="189"/>
      <c r="O64" s="174"/>
      <c r="P64" s="174"/>
      <c r="Q64" s="174"/>
      <c r="R64" s="197"/>
      <c r="S64" s="131"/>
      <c r="T64" s="131"/>
      <c r="U64" s="131"/>
      <c r="V64" s="174"/>
      <c r="W64" s="174"/>
      <c r="X64" s="174"/>
      <c r="Y64" s="197"/>
      <c r="Z64" s="197"/>
    </row>
    <row r="65" s="112" customFormat="1" ht="43" customHeight="1" spans="1:26">
      <c r="A65" s="125" t="s">
        <v>961</v>
      </c>
      <c r="B65" s="136" t="s">
        <v>742</v>
      </c>
      <c r="C65" s="125">
        <v>17000</v>
      </c>
      <c r="D65" s="127">
        <v>0.9</v>
      </c>
      <c r="E65" s="127" t="s">
        <v>802</v>
      </c>
      <c r="F65" s="217">
        <v>15300</v>
      </c>
      <c r="G65" s="217" t="s">
        <v>778</v>
      </c>
      <c r="H65" s="129">
        <v>0.8</v>
      </c>
      <c r="I65" s="128">
        <f t="shared" si="18"/>
        <v>12240</v>
      </c>
      <c r="J65" s="177">
        <v>0.8</v>
      </c>
      <c r="K65" s="127">
        <f t="shared" si="19"/>
        <v>0.01</v>
      </c>
      <c r="L65" s="128">
        <f>I65+I66+I67+I68+I69</f>
        <v>61200</v>
      </c>
      <c r="M65" s="129">
        <f>J65+J66+J67+J68+J69</f>
        <v>4</v>
      </c>
      <c r="N65" s="127">
        <f>L65/(C65*80)</f>
        <v>0.045</v>
      </c>
      <c r="O65" s="129" t="s">
        <v>802</v>
      </c>
      <c r="P65" s="129" t="s">
        <v>802</v>
      </c>
      <c r="Q65" s="127" t="s">
        <v>802</v>
      </c>
      <c r="R65" s="194" t="s">
        <v>962</v>
      </c>
      <c r="S65" s="136" t="s">
        <v>963</v>
      </c>
      <c r="T65" s="136" t="s">
        <v>964</v>
      </c>
      <c r="U65" s="136" t="s">
        <v>965</v>
      </c>
      <c r="V65" s="125" t="s">
        <v>802</v>
      </c>
      <c r="W65" s="125" t="s">
        <v>802</v>
      </c>
      <c r="X65" s="125" t="s">
        <v>802</v>
      </c>
      <c r="Y65" s="208" t="s">
        <v>966</v>
      </c>
      <c r="Z65" s="208" t="s">
        <v>820</v>
      </c>
    </row>
    <row r="66" s="112" customFormat="1" ht="48" customHeight="1" spans="1:26">
      <c r="A66" s="125"/>
      <c r="B66" s="136" t="s">
        <v>743</v>
      </c>
      <c r="C66" s="125">
        <v>17000</v>
      </c>
      <c r="D66" s="127">
        <v>0.9</v>
      </c>
      <c r="E66" s="127" t="s">
        <v>802</v>
      </c>
      <c r="F66" s="218">
        <v>15300</v>
      </c>
      <c r="G66" s="217" t="s">
        <v>778</v>
      </c>
      <c r="H66" s="129">
        <v>0.8</v>
      </c>
      <c r="I66" s="128">
        <f t="shared" si="18"/>
        <v>12240</v>
      </c>
      <c r="J66" s="177">
        <v>0.8</v>
      </c>
      <c r="K66" s="127">
        <f t="shared" si="19"/>
        <v>0.01</v>
      </c>
      <c r="L66" s="128"/>
      <c r="M66" s="129"/>
      <c r="N66" s="127"/>
      <c r="O66" s="129"/>
      <c r="P66" s="129"/>
      <c r="Q66" s="127"/>
      <c r="R66" s="194" t="s">
        <v>967</v>
      </c>
      <c r="S66" s="136"/>
      <c r="T66" s="136"/>
      <c r="U66" s="136"/>
      <c r="V66" s="125"/>
      <c r="W66" s="125"/>
      <c r="X66" s="125"/>
      <c r="Y66" s="194"/>
      <c r="Z66" s="194"/>
    </row>
    <row r="67" s="112" customFormat="1" ht="49" customHeight="1" spans="1:26">
      <c r="A67" s="125"/>
      <c r="B67" s="136" t="s">
        <v>744</v>
      </c>
      <c r="C67" s="125">
        <v>17000</v>
      </c>
      <c r="D67" s="127">
        <v>0.9</v>
      </c>
      <c r="E67" s="127" t="s">
        <v>802</v>
      </c>
      <c r="F67" s="217">
        <v>15300</v>
      </c>
      <c r="G67" s="217" t="s">
        <v>778</v>
      </c>
      <c r="H67" s="129">
        <v>0.8</v>
      </c>
      <c r="I67" s="128">
        <f t="shared" si="18"/>
        <v>12240</v>
      </c>
      <c r="J67" s="177">
        <v>0.8</v>
      </c>
      <c r="K67" s="127">
        <f t="shared" si="19"/>
        <v>0.01</v>
      </c>
      <c r="L67" s="128"/>
      <c r="M67" s="129"/>
      <c r="N67" s="127"/>
      <c r="O67" s="129"/>
      <c r="P67" s="129"/>
      <c r="Q67" s="127"/>
      <c r="R67" s="194" t="s">
        <v>968</v>
      </c>
      <c r="S67" s="136"/>
      <c r="T67" s="136"/>
      <c r="U67" s="136"/>
      <c r="V67" s="125"/>
      <c r="W67" s="125"/>
      <c r="X67" s="125"/>
      <c r="Y67" s="194"/>
      <c r="Z67" s="194"/>
    </row>
    <row r="68" s="112" customFormat="1" ht="44" customHeight="1" spans="1:26">
      <c r="A68" s="125"/>
      <c r="B68" s="136" t="s">
        <v>745</v>
      </c>
      <c r="C68" s="125">
        <v>17000</v>
      </c>
      <c r="D68" s="127">
        <v>0.9</v>
      </c>
      <c r="E68" s="127" t="s">
        <v>802</v>
      </c>
      <c r="F68" s="217">
        <v>15300</v>
      </c>
      <c r="G68" s="217" t="s">
        <v>778</v>
      </c>
      <c r="H68" s="129">
        <v>0.8</v>
      </c>
      <c r="I68" s="128">
        <f t="shared" si="18"/>
        <v>12240</v>
      </c>
      <c r="J68" s="177">
        <v>0.8</v>
      </c>
      <c r="K68" s="127">
        <f t="shared" si="19"/>
        <v>0.01</v>
      </c>
      <c r="L68" s="128"/>
      <c r="M68" s="129"/>
      <c r="N68" s="127"/>
      <c r="O68" s="129"/>
      <c r="P68" s="129"/>
      <c r="Q68" s="127"/>
      <c r="R68" s="194" t="s">
        <v>969</v>
      </c>
      <c r="S68" s="136"/>
      <c r="T68" s="136"/>
      <c r="U68" s="136"/>
      <c r="V68" s="125"/>
      <c r="W68" s="125"/>
      <c r="X68" s="125"/>
      <c r="Y68" s="194"/>
      <c r="Z68" s="194"/>
    </row>
    <row r="69" s="112" customFormat="1" ht="21" spans="1:26">
      <c r="A69" s="125"/>
      <c r="B69" s="136" t="s">
        <v>970</v>
      </c>
      <c r="C69" s="125">
        <v>17000</v>
      </c>
      <c r="D69" s="127">
        <v>0.9</v>
      </c>
      <c r="E69" s="127" t="s">
        <v>802</v>
      </c>
      <c r="F69" s="217">
        <v>15300</v>
      </c>
      <c r="G69" s="217" t="s">
        <v>778</v>
      </c>
      <c r="H69" s="129">
        <v>0.8</v>
      </c>
      <c r="I69" s="128">
        <f t="shared" si="18"/>
        <v>12240</v>
      </c>
      <c r="J69" s="177">
        <v>0.8</v>
      </c>
      <c r="K69" s="127">
        <f t="shared" si="19"/>
        <v>0.01</v>
      </c>
      <c r="L69" s="128"/>
      <c r="M69" s="129"/>
      <c r="N69" s="127"/>
      <c r="O69" s="129"/>
      <c r="P69" s="129"/>
      <c r="Q69" s="127"/>
      <c r="R69" s="194" t="s">
        <v>971</v>
      </c>
      <c r="S69" s="136"/>
      <c r="T69" s="136"/>
      <c r="U69" s="136"/>
      <c r="V69" s="125"/>
      <c r="W69" s="125"/>
      <c r="X69" s="125"/>
      <c r="Y69" s="194"/>
      <c r="Z69" s="194"/>
    </row>
    <row r="70" s="112" customFormat="1" ht="10.5" spans="1:26">
      <c r="A70" s="219" t="s">
        <v>972</v>
      </c>
      <c r="B70" s="219"/>
      <c r="C70" s="220" t="s">
        <v>802</v>
      </c>
      <c r="D70" s="220" t="s">
        <v>802</v>
      </c>
      <c r="E70" s="220" t="s">
        <v>802</v>
      </c>
      <c r="F70" s="220" t="s">
        <v>802</v>
      </c>
      <c r="G70" s="220" t="s">
        <v>802</v>
      </c>
      <c r="H70" s="220" t="s">
        <v>802</v>
      </c>
      <c r="I70" s="221">
        <v>1445000</v>
      </c>
      <c r="J70" s="222">
        <f>SUM(J5:J69)</f>
        <v>84.9958663803292</v>
      </c>
      <c r="K70" s="223">
        <v>1</v>
      </c>
      <c r="L70" s="221">
        <v>1445000</v>
      </c>
      <c r="M70" s="224">
        <f>SUM(M5:M69)</f>
        <v>84.9958663803293</v>
      </c>
      <c r="N70" s="223">
        <v>1</v>
      </c>
      <c r="O70" s="221">
        <f>SUM(O13:O69)</f>
        <v>0</v>
      </c>
      <c r="P70" s="221">
        <f>SUM(P13:P69)</f>
        <v>0</v>
      </c>
      <c r="Q70" s="223">
        <f>O70/L70</f>
        <v>0</v>
      </c>
      <c r="R70" s="225" t="s">
        <v>802</v>
      </c>
      <c r="S70" s="226" t="s">
        <v>802</v>
      </c>
      <c r="T70" s="226" t="s">
        <v>802</v>
      </c>
      <c r="U70" s="226" t="s">
        <v>802</v>
      </c>
      <c r="V70" s="226" t="s">
        <v>802</v>
      </c>
      <c r="W70" s="226" t="s">
        <v>802</v>
      </c>
      <c r="X70" s="226" t="s">
        <v>802</v>
      </c>
      <c r="Y70" s="225" t="s">
        <v>802</v>
      </c>
      <c r="Z70" s="225" t="s">
        <v>802</v>
      </c>
    </row>
    <row r="72" spans="5:10">
      <c r="E72" s="44" t="s">
        <v>76</v>
      </c>
      <c r="G72" s="5"/>
      <c r="H72" s="77" t="s">
        <v>77</v>
      </c>
      <c r="I72" s="68"/>
      <c r="J72" s="68" t="s">
        <v>140</v>
      </c>
    </row>
  </sheetData>
  <mergeCells count="331">
    <mergeCell ref="A1:Z1"/>
    <mergeCell ref="C2:Q2"/>
    <mergeCell ref="A70:B70"/>
    <mergeCell ref="A2:A4"/>
    <mergeCell ref="A5:A7"/>
    <mergeCell ref="A8:A12"/>
    <mergeCell ref="A13:A17"/>
    <mergeCell ref="A18:A24"/>
    <mergeCell ref="A25:A27"/>
    <mergeCell ref="A28:A34"/>
    <mergeCell ref="A35:A41"/>
    <mergeCell ref="A42:A48"/>
    <mergeCell ref="A49:A53"/>
    <mergeCell ref="A54:A58"/>
    <mergeCell ref="A59:A60"/>
    <mergeCell ref="A61:A64"/>
    <mergeCell ref="A65:A69"/>
    <mergeCell ref="B3:B4"/>
    <mergeCell ref="B16:B17"/>
    <mergeCell ref="B23:B24"/>
    <mergeCell ref="B32:B33"/>
    <mergeCell ref="B36:B37"/>
    <mergeCell ref="B40:B41"/>
    <mergeCell ref="B43:B44"/>
    <mergeCell ref="B47:B48"/>
    <mergeCell ref="B50:B51"/>
    <mergeCell ref="B52:B53"/>
    <mergeCell ref="B57:B58"/>
    <mergeCell ref="C3:C4"/>
    <mergeCell ref="C16:C17"/>
    <mergeCell ref="C23:C24"/>
    <mergeCell ref="C32:C33"/>
    <mergeCell ref="C36:C37"/>
    <mergeCell ref="C40:C41"/>
    <mergeCell ref="C43:C44"/>
    <mergeCell ref="C47:C48"/>
    <mergeCell ref="C50:C51"/>
    <mergeCell ref="C52:C53"/>
    <mergeCell ref="C57:C58"/>
    <mergeCell ref="D3:D4"/>
    <mergeCell ref="D16:D17"/>
    <mergeCell ref="D23:D24"/>
    <mergeCell ref="D32:D33"/>
    <mergeCell ref="D36:D37"/>
    <mergeCell ref="D40:D41"/>
    <mergeCell ref="D43:D44"/>
    <mergeCell ref="D47:D48"/>
    <mergeCell ref="D50:D51"/>
    <mergeCell ref="D52:D53"/>
    <mergeCell ref="D57:D58"/>
    <mergeCell ref="E3:E4"/>
    <mergeCell ref="E16:E17"/>
    <mergeCell ref="E23:E24"/>
    <mergeCell ref="E32:E33"/>
    <mergeCell ref="E36:E37"/>
    <mergeCell ref="E40:E41"/>
    <mergeCell ref="E43:E44"/>
    <mergeCell ref="E47:E48"/>
    <mergeCell ref="E50:E51"/>
    <mergeCell ref="E52:E53"/>
    <mergeCell ref="E57:E58"/>
    <mergeCell ref="F3:F4"/>
    <mergeCell ref="F16:F17"/>
    <mergeCell ref="F23:F24"/>
    <mergeCell ref="F32:F33"/>
    <mergeCell ref="F36:F37"/>
    <mergeCell ref="F40:F41"/>
    <mergeCell ref="F43:F44"/>
    <mergeCell ref="F47:F48"/>
    <mergeCell ref="F50:F51"/>
    <mergeCell ref="F52:F53"/>
    <mergeCell ref="F57:F58"/>
    <mergeCell ref="G3:G4"/>
    <mergeCell ref="G16:G17"/>
    <mergeCell ref="G23:G24"/>
    <mergeCell ref="G32:G33"/>
    <mergeCell ref="G36:G37"/>
    <mergeCell ref="G40:G41"/>
    <mergeCell ref="G43:G44"/>
    <mergeCell ref="G47:G48"/>
    <mergeCell ref="G50:G51"/>
    <mergeCell ref="G52:G53"/>
    <mergeCell ref="G57:G58"/>
    <mergeCell ref="H3:H4"/>
    <mergeCell ref="H16:H17"/>
    <mergeCell ref="H23:H24"/>
    <mergeCell ref="H32:H33"/>
    <mergeCell ref="H36:H37"/>
    <mergeCell ref="H40:H41"/>
    <mergeCell ref="H43:H44"/>
    <mergeCell ref="H47:H48"/>
    <mergeCell ref="H50:H51"/>
    <mergeCell ref="H52:H53"/>
    <mergeCell ref="H57:H58"/>
    <mergeCell ref="I3:I4"/>
    <mergeCell ref="I16:I17"/>
    <mergeCell ref="I23:I24"/>
    <mergeCell ref="I32:I33"/>
    <mergeCell ref="I36:I37"/>
    <mergeCell ref="I40:I41"/>
    <mergeCell ref="I43:I44"/>
    <mergeCell ref="I47:I48"/>
    <mergeCell ref="I50:I51"/>
    <mergeCell ref="I52:I53"/>
    <mergeCell ref="I57:I58"/>
    <mergeCell ref="J3:J4"/>
    <mergeCell ref="J16:J17"/>
    <mergeCell ref="J23:J24"/>
    <mergeCell ref="J32:J33"/>
    <mergeCell ref="J36:J37"/>
    <mergeCell ref="J40:J41"/>
    <mergeCell ref="J43:J44"/>
    <mergeCell ref="J47:J48"/>
    <mergeCell ref="J50:J51"/>
    <mergeCell ref="J52:J53"/>
    <mergeCell ref="J57:J58"/>
    <mergeCell ref="K3:K4"/>
    <mergeCell ref="K16:K17"/>
    <mergeCell ref="K23:K24"/>
    <mergeCell ref="K32:K33"/>
    <mergeCell ref="K36:K37"/>
    <mergeCell ref="K40:K41"/>
    <mergeCell ref="K43:K44"/>
    <mergeCell ref="K47:K48"/>
    <mergeCell ref="K50:K51"/>
    <mergeCell ref="K52:K53"/>
    <mergeCell ref="K57:K58"/>
    <mergeCell ref="L3:L4"/>
    <mergeCell ref="L5:L7"/>
    <mergeCell ref="L8:L12"/>
    <mergeCell ref="L13:L17"/>
    <mergeCell ref="L18:L24"/>
    <mergeCell ref="L25:L27"/>
    <mergeCell ref="L28:L34"/>
    <mergeCell ref="L35:L41"/>
    <mergeCell ref="L42:L48"/>
    <mergeCell ref="L49:L53"/>
    <mergeCell ref="L54:L58"/>
    <mergeCell ref="L59:L60"/>
    <mergeCell ref="L61:L64"/>
    <mergeCell ref="L65:L69"/>
    <mergeCell ref="M3:M4"/>
    <mergeCell ref="M5:M7"/>
    <mergeCell ref="M8:M12"/>
    <mergeCell ref="M13:M17"/>
    <mergeCell ref="M18:M24"/>
    <mergeCell ref="M25:M27"/>
    <mergeCell ref="M28:M34"/>
    <mergeCell ref="M35:M41"/>
    <mergeCell ref="M42:M48"/>
    <mergeCell ref="M49:M53"/>
    <mergeCell ref="M54:M58"/>
    <mergeCell ref="M59:M60"/>
    <mergeCell ref="M61:M64"/>
    <mergeCell ref="M65:M69"/>
    <mergeCell ref="N3:N4"/>
    <mergeCell ref="N5:N7"/>
    <mergeCell ref="N8:N12"/>
    <mergeCell ref="N13:N17"/>
    <mergeCell ref="N18:N24"/>
    <mergeCell ref="N25:N27"/>
    <mergeCell ref="N28:N34"/>
    <mergeCell ref="N35:N41"/>
    <mergeCell ref="N42:N48"/>
    <mergeCell ref="N49:N53"/>
    <mergeCell ref="N54:N58"/>
    <mergeCell ref="N59:N60"/>
    <mergeCell ref="N61:N64"/>
    <mergeCell ref="N65:N69"/>
    <mergeCell ref="O3:O4"/>
    <mergeCell ref="O5:O7"/>
    <mergeCell ref="O8:O12"/>
    <mergeCell ref="O13:O17"/>
    <mergeCell ref="O18:O24"/>
    <mergeCell ref="O25:O27"/>
    <mergeCell ref="O28:O34"/>
    <mergeCell ref="O35:O41"/>
    <mergeCell ref="O42:O48"/>
    <mergeCell ref="O49:O53"/>
    <mergeCell ref="O54:O58"/>
    <mergeCell ref="O59:O60"/>
    <mergeCell ref="O61:O64"/>
    <mergeCell ref="O65:O69"/>
    <mergeCell ref="P3:P4"/>
    <mergeCell ref="P5:P7"/>
    <mergeCell ref="P8:P12"/>
    <mergeCell ref="P13:P17"/>
    <mergeCell ref="P18:P24"/>
    <mergeCell ref="P25:P27"/>
    <mergeCell ref="P28:P34"/>
    <mergeCell ref="P35:P41"/>
    <mergeCell ref="P42:P48"/>
    <mergeCell ref="P49:P53"/>
    <mergeCell ref="P54:P58"/>
    <mergeCell ref="P59:P60"/>
    <mergeCell ref="P61:P64"/>
    <mergeCell ref="P65:P69"/>
    <mergeCell ref="Q3:Q4"/>
    <mergeCell ref="Q5:Q7"/>
    <mergeCell ref="Q8:Q12"/>
    <mergeCell ref="Q13:Q17"/>
    <mergeCell ref="Q18:Q24"/>
    <mergeCell ref="Q25:Q27"/>
    <mergeCell ref="Q28:Q34"/>
    <mergeCell ref="Q35:Q41"/>
    <mergeCell ref="Q42:Q48"/>
    <mergeCell ref="Q49:Q53"/>
    <mergeCell ref="Q54:Q58"/>
    <mergeCell ref="Q59:Q60"/>
    <mergeCell ref="Q61:Q64"/>
    <mergeCell ref="Q65:Q69"/>
    <mergeCell ref="R2:R4"/>
    <mergeCell ref="R16:R17"/>
    <mergeCell ref="R23:R24"/>
    <mergeCell ref="R32:R33"/>
    <mergeCell ref="R36:R37"/>
    <mergeCell ref="R40:R41"/>
    <mergeCell ref="R43:R44"/>
    <mergeCell ref="R47:R48"/>
    <mergeCell ref="R50:R51"/>
    <mergeCell ref="R52:R53"/>
    <mergeCell ref="R57:R58"/>
    <mergeCell ref="R61:R64"/>
    <mergeCell ref="S2:S4"/>
    <mergeCell ref="S5:S7"/>
    <mergeCell ref="S8:S12"/>
    <mergeCell ref="S13:S17"/>
    <mergeCell ref="S18:S24"/>
    <mergeCell ref="S25:S27"/>
    <mergeCell ref="S28:S34"/>
    <mergeCell ref="S35:S41"/>
    <mergeCell ref="S42:S48"/>
    <mergeCell ref="S49:S53"/>
    <mergeCell ref="S54:S58"/>
    <mergeCell ref="S59:S60"/>
    <mergeCell ref="S61:S64"/>
    <mergeCell ref="S65:S69"/>
    <mergeCell ref="T5:T7"/>
    <mergeCell ref="T8:T12"/>
    <mergeCell ref="T13:T17"/>
    <mergeCell ref="T18:T24"/>
    <mergeCell ref="T25:T27"/>
    <mergeCell ref="T28:T34"/>
    <mergeCell ref="T35:T41"/>
    <mergeCell ref="T42:T48"/>
    <mergeCell ref="T49:T53"/>
    <mergeCell ref="T54:T58"/>
    <mergeCell ref="T61:T64"/>
    <mergeCell ref="T65:T69"/>
    <mergeCell ref="U5:U7"/>
    <mergeCell ref="U8:U12"/>
    <mergeCell ref="U13:U17"/>
    <mergeCell ref="U18:U24"/>
    <mergeCell ref="U25:U27"/>
    <mergeCell ref="U28:U34"/>
    <mergeCell ref="U35:U41"/>
    <mergeCell ref="U42:U48"/>
    <mergeCell ref="U49:U53"/>
    <mergeCell ref="U54:U58"/>
    <mergeCell ref="U61:U64"/>
    <mergeCell ref="U65:U69"/>
    <mergeCell ref="V5:V7"/>
    <mergeCell ref="V8:V12"/>
    <mergeCell ref="V13:V17"/>
    <mergeCell ref="V18:V24"/>
    <mergeCell ref="V25:V27"/>
    <mergeCell ref="V28:V34"/>
    <mergeCell ref="V35:V41"/>
    <mergeCell ref="V42:V48"/>
    <mergeCell ref="V49:V53"/>
    <mergeCell ref="V54:V58"/>
    <mergeCell ref="V59:V60"/>
    <mergeCell ref="V61:V64"/>
    <mergeCell ref="V65:V69"/>
    <mergeCell ref="W5:W7"/>
    <mergeCell ref="W8:W12"/>
    <mergeCell ref="W13:W17"/>
    <mergeCell ref="W18:W24"/>
    <mergeCell ref="W25:W27"/>
    <mergeCell ref="W28:W34"/>
    <mergeCell ref="W35:W41"/>
    <mergeCell ref="W42:W48"/>
    <mergeCell ref="W49:W53"/>
    <mergeCell ref="W54:W58"/>
    <mergeCell ref="W59:W60"/>
    <mergeCell ref="W61:W64"/>
    <mergeCell ref="W65:W69"/>
    <mergeCell ref="X5:X7"/>
    <mergeCell ref="X8:X12"/>
    <mergeCell ref="X13:X17"/>
    <mergeCell ref="X18:X24"/>
    <mergeCell ref="X25:X27"/>
    <mergeCell ref="X28:X34"/>
    <mergeCell ref="X35:X41"/>
    <mergeCell ref="X42:X48"/>
    <mergeCell ref="X49:X53"/>
    <mergeCell ref="X54:X58"/>
    <mergeCell ref="X59:X60"/>
    <mergeCell ref="X61:X64"/>
    <mergeCell ref="X65:X69"/>
    <mergeCell ref="Y5:Y7"/>
    <mergeCell ref="Y8:Y12"/>
    <mergeCell ref="Y13:Y17"/>
    <mergeCell ref="Y18:Y24"/>
    <mergeCell ref="Y25:Y27"/>
    <mergeCell ref="Y28:Y34"/>
    <mergeCell ref="Y35:Y39"/>
    <mergeCell ref="Y40:Y41"/>
    <mergeCell ref="Y42:Y46"/>
    <mergeCell ref="Y47:Y48"/>
    <mergeCell ref="Y49:Y53"/>
    <mergeCell ref="Y54:Y58"/>
    <mergeCell ref="Y59:Y60"/>
    <mergeCell ref="Y61:Y64"/>
    <mergeCell ref="Y65:Y69"/>
    <mergeCell ref="Z5:Z7"/>
    <mergeCell ref="Z8:Z12"/>
    <mergeCell ref="Z13:Z17"/>
    <mergeCell ref="Z18:Z24"/>
    <mergeCell ref="Z25:Z27"/>
    <mergeCell ref="Z28:Z34"/>
    <mergeCell ref="Z35:Z41"/>
    <mergeCell ref="Z42:Z48"/>
    <mergeCell ref="Z49:Z53"/>
    <mergeCell ref="Z54:Z58"/>
    <mergeCell ref="Z59:Z60"/>
    <mergeCell ref="Z61:Z64"/>
    <mergeCell ref="Z65:Z69"/>
    <mergeCell ref="T2:U3"/>
    <mergeCell ref="V2:X3"/>
    <mergeCell ref="Y2:Z3"/>
  </mergeCells>
  <pageMargins left="0.3" right="0.21" top="0.472222222222222" bottom="0.393055555555556" header="0.31496062992126" footer="0.31496062992126"/>
  <pageSetup paperSize="9" scale="75" orientation="landscape"/>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H3" sqref="H3:H4"/>
    </sheetView>
  </sheetViews>
  <sheetFormatPr defaultColWidth="9" defaultRowHeight="13.5"/>
  <cols>
    <col min="1" max="1" width="18.25" style="87" customWidth="1"/>
    <col min="2" max="2" width="10.5" style="88" customWidth="1"/>
    <col min="3" max="3" width="10.125" style="88" customWidth="1"/>
    <col min="4" max="4" width="8.375" style="87" customWidth="1"/>
    <col min="5" max="5" width="9.875" style="87" customWidth="1"/>
    <col min="6" max="6" width="12.6333333333333" style="87" customWidth="1"/>
    <col min="7" max="7" width="7.75" style="89" customWidth="1"/>
    <col min="8" max="8" width="46.6333333333333" style="87" customWidth="1"/>
    <col min="9" max="16384" width="9" style="87"/>
  </cols>
  <sheetData>
    <row r="1" s="87" customFormat="1" ht="26.1" customHeight="1" spans="1:8">
      <c r="A1" s="90" t="s">
        <v>973</v>
      </c>
      <c r="B1" s="90"/>
      <c r="C1" s="90"/>
      <c r="D1" s="90"/>
      <c r="E1" s="90"/>
      <c r="F1" s="90"/>
      <c r="G1" s="90"/>
      <c r="H1" s="90"/>
    </row>
    <row r="2" s="87" customFormat="1" ht="26.1" customHeight="1" spans="1:8">
      <c r="A2" s="91" t="s">
        <v>749</v>
      </c>
      <c r="B2" s="92" t="s">
        <v>615</v>
      </c>
      <c r="C2" s="92" t="s">
        <v>750</v>
      </c>
      <c r="D2" s="91" t="s">
        <v>347</v>
      </c>
      <c r="E2" s="91" t="s">
        <v>751</v>
      </c>
      <c r="F2" s="91" t="s">
        <v>752</v>
      </c>
      <c r="G2" s="93" t="s">
        <v>753</v>
      </c>
      <c r="H2" s="94" t="s">
        <v>974</v>
      </c>
    </row>
    <row r="3" s="87" customFormat="1" ht="26.1" customHeight="1" spans="1:8">
      <c r="A3" s="95" t="s">
        <v>755</v>
      </c>
      <c r="B3" s="96">
        <v>2740</v>
      </c>
      <c r="C3" s="97">
        <v>0.62</v>
      </c>
      <c r="D3" s="98">
        <v>5</v>
      </c>
      <c r="E3" s="98">
        <v>1</v>
      </c>
      <c r="F3" s="99">
        <v>8494</v>
      </c>
      <c r="G3" s="99">
        <v>0.47</v>
      </c>
      <c r="H3" s="100" t="s">
        <v>756</v>
      </c>
    </row>
    <row r="4" s="87" customFormat="1" ht="26.1" customHeight="1" spans="1:11">
      <c r="A4" s="95" t="s">
        <v>757</v>
      </c>
      <c r="B4" s="96">
        <v>2740</v>
      </c>
      <c r="C4" s="97">
        <v>0.62</v>
      </c>
      <c r="D4" s="98">
        <v>38</v>
      </c>
      <c r="E4" s="98">
        <v>1</v>
      </c>
      <c r="F4" s="99">
        <v>64554</v>
      </c>
      <c r="G4" s="99">
        <v>2.61</v>
      </c>
      <c r="H4" s="101"/>
      <c r="K4" s="111"/>
    </row>
    <row r="5" s="87" customFormat="1" ht="26.1" customHeight="1" spans="1:8">
      <c r="A5" s="102" t="s">
        <v>758</v>
      </c>
      <c r="B5" s="96">
        <v>803</v>
      </c>
      <c r="C5" s="97">
        <v>0.62</v>
      </c>
      <c r="D5" s="98">
        <v>5.8</v>
      </c>
      <c r="E5" s="98">
        <v>8</v>
      </c>
      <c r="F5" s="99">
        <v>23100</v>
      </c>
      <c r="G5" s="99">
        <v>1.04</v>
      </c>
      <c r="H5" s="103" t="s">
        <v>759</v>
      </c>
    </row>
    <row r="6" s="87" customFormat="1" ht="26.1" customHeight="1" spans="1:8">
      <c r="A6" s="104"/>
      <c r="B6" s="96">
        <v>16197</v>
      </c>
      <c r="C6" s="97">
        <v>0.15</v>
      </c>
      <c r="D6" s="98">
        <v>7</v>
      </c>
      <c r="E6" s="98">
        <v>1</v>
      </c>
      <c r="F6" s="99">
        <v>17006</v>
      </c>
      <c r="G6" s="99">
        <f t="shared" ref="G6:G10" si="0">F6/16000</f>
        <v>1.062875</v>
      </c>
      <c r="H6" s="103" t="s">
        <v>760</v>
      </c>
    </row>
    <row r="7" s="87" customFormat="1" ht="48.95" customHeight="1" spans="1:8">
      <c r="A7" s="105" t="s">
        <v>761</v>
      </c>
      <c r="B7" s="96">
        <v>17000</v>
      </c>
      <c r="C7" s="97">
        <v>1</v>
      </c>
      <c r="D7" s="98">
        <v>0.24</v>
      </c>
      <c r="E7" s="98">
        <v>1</v>
      </c>
      <c r="F7" s="99">
        <f t="shared" ref="F7:F10" si="1">B7*C7*D7*E7</f>
        <v>4080</v>
      </c>
      <c r="G7" s="99">
        <f t="shared" si="0"/>
        <v>0.255</v>
      </c>
      <c r="H7" s="103" t="s">
        <v>762</v>
      </c>
    </row>
    <row r="8" s="87" customFormat="1" ht="48.75" customHeight="1" spans="1:8">
      <c r="A8" s="102" t="s">
        <v>763</v>
      </c>
      <c r="B8" s="96">
        <v>17000</v>
      </c>
      <c r="C8" s="97">
        <v>0.6</v>
      </c>
      <c r="D8" s="98">
        <v>5.1</v>
      </c>
      <c r="E8" s="98">
        <v>1</v>
      </c>
      <c r="F8" s="99">
        <f t="shared" si="1"/>
        <v>52020</v>
      </c>
      <c r="G8" s="99">
        <f t="shared" si="0"/>
        <v>3.25125</v>
      </c>
      <c r="H8" s="103" t="s">
        <v>764</v>
      </c>
    </row>
    <row r="9" s="87" customFormat="1" ht="51.75" customHeight="1" spans="1:8">
      <c r="A9" s="104"/>
      <c r="B9" s="96">
        <v>17000</v>
      </c>
      <c r="C9" s="97">
        <v>0.4</v>
      </c>
      <c r="D9" s="98">
        <v>7.9</v>
      </c>
      <c r="E9" s="98">
        <v>1</v>
      </c>
      <c r="F9" s="99">
        <f t="shared" si="1"/>
        <v>53720</v>
      </c>
      <c r="G9" s="99">
        <f t="shared" si="0"/>
        <v>3.3575</v>
      </c>
      <c r="H9" s="103" t="s">
        <v>765</v>
      </c>
    </row>
    <row r="10" s="87" customFormat="1" ht="48.75" customHeight="1" spans="1:8">
      <c r="A10" s="95" t="s">
        <v>766</v>
      </c>
      <c r="B10" s="96">
        <v>1230</v>
      </c>
      <c r="C10" s="97">
        <v>0.25</v>
      </c>
      <c r="D10" s="98">
        <v>73</v>
      </c>
      <c r="E10" s="98">
        <v>6</v>
      </c>
      <c r="F10" s="99">
        <f t="shared" si="1"/>
        <v>134685</v>
      </c>
      <c r="G10" s="99">
        <f t="shared" si="0"/>
        <v>8.4178125</v>
      </c>
      <c r="H10" s="103" t="s">
        <v>767</v>
      </c>
    </row>
    <row r="11" s="87" customFormat="1" ht="57" customHeight="1" spans="1:8">
      <c r="A11" s="95" t="s">
        <v>768</v>
      </c>
      <c r="B11" s="96">
        <v>1230</v>
      </c>
      <c r="C11" s="97">
        <v>0.25</v>
      </c>
      <c r="D11" s="98">
        <v>73</v>
      </c>
      <c r="E11" s="98">
        <v>3</v>
      </c>
      <c r="F11" s="99">
        <v>67341</v>
      </c>
      <c r="G11" s="99">
        <v>4.54</v>
      </c>
      <c r="H11" s="103" t="s">
        <v>769</v>
      </c>
    </row>
    <row r="12" s="87" customFormat="1" ht="27.75" customHeight="1" spans="1:8">
      <c r="A12" s="106" t="s">
        <v>34</v>
      </c>
      <c r="B12" s="107"/>
      <c r="C12" s="107"/>
      <c r="D12" s="106"/>
      <c r="E12" s="106"/>
      <c r="F12" s="108">
        <f>SUM(F3:F11)</f>
        <v>425000</v>
      </c>
      <c r="G12" s="109">
        <f>SUM(G3:G11)</f>
        <v>25.0044375</v>
      </c>
      <c r="H12" s="110"/>
    </row>
    <row r="14" ht="14.25" spans="2:7">
      <c r="B14" s="44" t="s">
        <v>76</v>
      </c>
      <c r="C14" s="44"/>
      <c r="D14" s="5"/>
      <c r="E14" s="77" t="s">
        <v>77</v>
      </c>
      <c r="F14" s="68"/>
      <c r="G14" s="68" t="s">
        <v>140</v>
      </c>
    </row>
  </sheetData>
  <mergeCells count="4">
    <mergeCell ref="A1:H1"/>
    <mergeCell ref="A5:A6"/>
    <mergeCell ref="A8:A9"/>
    <mergeCell ref="H3:H4"/>
  </mergeCells>
  <pageMargins left="0.75" right="0.75" top="1" bottom="1"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3"/>
  <sheetViews>
    <sheetView workbookViewId="0">
      <selection activeCell="K14" sqref="K14"/>
    </sheetView>
  </sheetViews>
  <sheetFormatPr defaultColWidth="9" defaultRowHeight="14.25"/>
  <cols>
    <col min="1" max="1" width="5.125" style="2" customWidth="1"/>
    <col min="2" max="2" width="12.9333333333333" style="44" customWidth="1"/>
    <col min="3" max="3" width="12.25" style="44" customWidth="1"/>
    <col min="4" max="4" width="10.375" style="44" customWidth="1"/>
    <col min="5" max="5" width="12.5" style="44" customWidth="1"/>
    <col min="6" max="6" width="11.625" style="44" customWidth="1"/>
    <col min="7" max="7" width="14.5" style="44" customWidth="1"/>
    <col min="8" max="8" width="14.4583333333333" style="44" customWidth="1"/>
    <col min="9" max="9" width="11.375" style="44" customWidth="1"/>
    <col min="10" max="16384" width="9" style="44"/>
  </cols>
  <sheetData>
    <row r="1" s="44" customFormat="1" ht="33" customHeight="1" spans="1:9">
      <c r="A1" s="52" t="s">
        <v>975</v>
      </c>
      <c r="B1" s="52"/>
      <c r="C1" s="52"/>
      <c r="D1" s="52"/>
      <c r="E1" s="52"/>
      <c r="F1" s="52"/>
      <c r="G1" s="52"/>
      <c r="H1" s="52"/>
      <c r="I1" s="52"/>
    </row>
    <row r="2" s="44" customFormat="1" ht="24" customHeight="1" spans="2:8">
      <c r="B2" s="78" t="s">
        <v>54</v>
      </c>
      <c r="C2" s="79"/>
      <c r="D2" s="79"/>
      <c r="E2" s="79"/>
      <c r="F2" s="79"/>
      <c r="G2" s="79"/>
      <c r="H2" s="79"/>
    </row>
    <row r="3" s="44" customFormat="1" ht="34" customHeight="1" spans="1:9">
      <c r="A3" s="69" t="s">
        <v>55</v>
      </c>
      <c r="B3" s="57" t="s">
        <v>345</v>
      </c>
      <c r="C3" s="65" t="s">
        <v>976</v>
      </c>
      <c r="D3" s="65"/>
      <c r="E3" s="80" t="s">
        <v>977</v>
      </c>
      <c r="F3" s="81"/>
      <c r="G3" s="57" t="s">
        <v>978</v>
      </c>
      <c r="H3" s="57"/>
      <c r="I3" s="57"/>
    </row>
    <row r="4" s="44" customFormat="1" ht="27" customHeight="1" spans="1:9">
      <c r="A4" s="82"/>
      <c r="B4" s="57"/>
      <c r="C4" s="57" t="s">
        <v>979</v>
      </c>
      <c r="D4" s="57" t="s">
        <v>980</v>
      </c>
      <c r="E4" s="57" t="s">
        <v>981</v>
      </c>
      <c r="F4" s="57" t="s">
        <v>982</v>
      </c>
      <c r="G4" s="57" t="s">
        <v>981</v>
      </c>
      <c r="H4" s="57" t="s">
        <v>982</v>
      </c>
      <c r="I4" s="65" t="s">
        <v>34</v>
      </c>
    </row>
    <row r="5" s="51" customFormat="1" ht="24.95" customHeight="1" spans="1:9">
      <c r="A5" s="64">
        <v>1</v>
      </c>
      <c r="B5" s="83" t="s">
        <v>220</v>
      </c>
      <c r="C5" s="64">
        <v>57600</v>
      </c>
      <c r="D5" s="64">
        <v>0</v>
      </c>
      <c r="E5" s="64">
        <v>173.61</v>
      </c>
      <c r="F5" s="64">
        <v>0</v>
      </c>
      <c r="G5" s="64">
        <f t="shared" ref="G5:G20" si="0">C5*E5</f>
        <v>9999936</v>
      </c>
      <c r="H5" s="64">
        <f t="shared" ref="H5:H14" si="1">D5*F5</f>
        <v>0</v>
      </c>
      <c r="I5" s="64">
        <f t="shared" ref="I5:I20" si="2">G5+H5</f>
        <v>9999936</v>
      </c>
    </row>
    <row r="6" s="51" customFormat="1" ht="24.95" customHeight="1" spans="1:9">
      <c r="A6" s="64">
        <v>2</v>
      </c>
      <c r="B6" s="83" t="s">
        <v>202</v>
      </c>
      <c r="C6" s="64">
        <v>2330</v>
      </c>
      <c r="D6" s="64">
        <v>24</v>
      </c>
      <c r="E6" s="64">
        <v>1266</v>
      </c>
      <c r="F6" s="64">
        <v>6226</v>
      </c>
      <c r="G6" s="64">
        <f t="shared" si="0"/>
        <v>2949780</v>
      </c>
      <c r="H6" s="64">
        <f t="shared" si="1"/>
        <v>149424</v>
      </c>
      <c r="I6" s="64">
        <f t="shared" si="2"/>
        <v>3099204</v>
      </c>
    </row>
    <row r="7" s="51" customFormat="1" ht="24.95" customHeight="1" spans="1:9">
      <c r="A7" s="64">
        <v>3</v>
      </c>
      <c r="B7" s="83" t="s">
        <v>165</v>
      </c>
      <c r="C7" s="64">
        <v>70000</v>
      </c>
      <c r="D7" s="64">
        <v>2100</v>
      </c>
      <c r="E7" s="64">
        <v>164.28</v>
      </c>
      <c r="F7" s="64">
        <v>4095.24</v>
      </c>
      <c r="G7" s="64">
        <f t="shared" si="0"/>
        <v>11499600</v>
      </c>
      <c r="H7" s="64">
        <f t="shared" si="1"/>
        <v>8600004</v>
      </c>
      <c r="I7" s="64">
        <f t="shared" si="2"/>
        <v>20099604</v>
      </c>
    </row>
    <row r="8" s="51" customFormat="1" ht="24.95" customHeight="1" spans="1:9">
      <c r="A8" s="64">
        <v>4</v>
      </c>
      <c r="B8" s="83" t="s">
        <v>234</v>
      </c>
      <c r="C8" s="64">
        <v>25044</v>
      </c>
      <c r="D8" s="64">
        <v>1369</v>
      </c>
      <c r="E8" s="64">
        <v>241.5</v>
      </c>
      <c r="F8" s="64">
        <v>4090</v>
      </c>
      <c r="G8" s="64">
        <f t="shared" si="0"/>
        <v>6048126</v>
      </c>
      <c r="H8" s="64">
        <f t="shared" si="1"/>
        <v>5599210</v>
      </c>
      <c r="I8" s="64">
        <f t="shared" si="2"/>
        <v>11647336</v>
      </c>
    </row>
    <row r="9" s="51" customFormat="1" ht="24.95" customHeight="1" spans="1:9">
      <c r="A9" s="64">
        <v>5</v>
      </c>
      <c r="B9" s="83" t="s">
        <v>983</v>
      </c>
      <c r="C9" s="64">
        <v>10448</v>
      </c>
      <c r="D9" s="64">
        <v>168</v>
      </c>
      <c r="E9" s="64">
        <v>118</v>
      </c>
      <c r="F9" s="64">
        <v>5476</v>
      </c>
      <c r="G9" s="64">
        <f t="shared" si="0"/>
        <v>1232864</v>
      </c>
      <c r="H9" s="64">
        <f t="shared" si="1"/>
        <v>919968</v>
      </c>
      <c r="I9" s="64">
        <f t="shared" si="2"/>
        <v>2152832</v>
      </c>
    </row>
    <row r="10" s="51" customFormat="1" ht="24.95" customHeight="1" spans="1:9">
      <c r="A10" s="64">
        <v>6</v>
      </c>
      <c r="B10" s="83" t="s">
        <v>163</v>
      </c>
      <c r="C10" s="64">
        <v>11836</v>
      </c>
      <c r="D10" s="64">
        <v>0</v>
      </c>
      <c r="E10" s="64">
        <v>120.15</v>
      </c>
      <c r="F10" s="64"/>
      <c r="G10" s="64">
        <f t="shared" si="0"/>
        <v>1422095.4</v>
      </c>
      <c r="H10" s="64">
        <f t="shared" si="1"/>
        <v>0</v>
      </c>
      <c r="I10" s="64">
        <f t="shared" si="2"/>
        <v>1422095.4</v>
      </c>
    </row>
    <row r="11" s="51" customFormat="1" ht="35.1" customHeight="1" spans="1:9">
      <c r="A11" s="64">
        <v>7</v>
      </c>
      <c r="B11" s="83" t="s">
        <v>984</v>
      </c>
      <c r="C11" s="64">
        <v>392</v>
      </c>
      <c r="D11" s="64">
        <v>165</v>
      </c>
      <c r="E11" s="64">
        <v>2344.23</v>
      </c>
      <c r="F11" s="64">
        <v>27435.49</v>
      </c>
      <c r="G11" s="64">
        <f t="shared" si="0"/>
        <v>918938.16</v>
      </c>
      <c r="H11" s="64">
        <f t="shared" si="1"/>
        <v>4526855.85</v>
      </c>
      <c r="I11" s="64">
        <f t="shared" si="2"/>
        <v>5445794.01</v>
      </c>
    </row>
    <row r="12" s="51" customFormat="1" ht="24.95" customHeight="1" spans="1:9">
      <c r="A12" s="64">
        <v>8</v>
      </c>
      <c r="B12" s="83" t="s">
        <v>168</v>
      </c>
      <c r="C12" s="64">
        <v>3818</v>
      </c>
      <c r="D12" s="64">
        <v>204</v>
      </c>
      <c r="E12" s="64">
        <v>290.45</v>
      </c>
      <c r="F12" s="64">
        <v>14985.29</v>
      </c>
      <c r="G12" s="64">
        <f t="shared" si="0"/>
        <v>1108938.1</v>
      </c>
      <c r="H12" s="64">
        <f t="shared" si="1"/>
        <v>3056999.16</v>
      </c>
      <c r="I12" s="64">
        <f t="shared" si="2"/>
        <v>4165937.26</v>
      </c>
    </row>
    <row r="13" s="51" customFormat="1" ht="24.95" customHeight="1" spans="1:9">
      <c r="A13" s="64">
        <v>9</v>
      </c>
      <c r="B13" s="83" t="s">
        <v>195</v>
      </c>
      <c r="C13" s="64">
        <v>8570</v>
      </c>
      <c r="D13" s="64">
        <v>661</v>
      </c>
      <c r="E13" s="64">
        <v>187</v>
      </c>
      <c r="F13" s="64">
        <v>8390</v>
      </c>
      <c r="G13" s="64">
        <f t="shared" si="0"/>
        <v>1602590</v>
      </c>
      <c r="H13" s="64">
        <f t="shared" si="1"/>
        <v>5545790</v>
      </c>
      <c r="I13" s="64">
        <f t="shared" si="2"/>
        <v>7148380</v>
      </c>
    </row>
    <row r="14" s="51" customFormat="1" ht="38" customHeight="1" spans="1:9">
      <c r="A14" s="64">
        <v>10</v>
      </c>
      <c r="B14" s="83" t="s">
        <v>191</v>
      </c>
      <c r="C14" s="64">
        <v>1219</v>
      </c>
      <c r="D14" s="64">
        <v>283</v>
      </c>
      <c r="E14" s="64">
        <v>194.5</v>
      </c>
      <c r="F14" s="64">
        <v>26500</v>
      </c>
      <c r="G14" s="64">
        <f t="shared" si="0"/>
        <v>237095.5</v>
      </c>
      <c r="H14" s="64">
        <f t="shared" si="1"/>
        <v>7499500</v>
      </c>
      <c r="I14" s="64">
        <f t="shared" si="2"/>
        <v>7736595.5</v>
      </c>
    </row>
    <row r="15" s="51" customFormat="1" ht="24.95" customHeight="1" spans="1:9">
      <c r="A15" s="64">
        <v>11</v>
      </c>
      <c r="B15" s="83" t="s">
        <v>985</v>
      </c>
      <c r="C15" s="64"/>
      <c r="D15" s="64"/>
      <c r="E15" s="64"/>
      <c r="F15" s="64"/>
      <c r="G15" s="64">
        <f t="shared" si="0"/>
        <v>0</v>
      </c>
      <c r="H15" s="64">
        <v>5160000</v>
      </c>
      <c r="I15" s="64">
        <f t="shared" si="2"/>
        <v>5160000</v>
      </c>
    </row>
    <row r="16" s="51" customFormat="1" ht="24.95" customHeight="1" spans="1:9">
      <c r="A16" s="64">
        <v>12</v>
      </c>
      <c r="B16" s="83" t="s">
        <v>159</v>
      </c>
      <c r="C16" s="64">
        <v>14600</v>
      </c>
      <c r="D16" s="64">
        <v>200</v>
      </c>
      <c r="E16" s="64">
        <v>320</v>
      </c>
      <c r="F16" s="64">
        <v>500</v>
      </c>
      <c r="G16" s="64">
        <f t="shared" si="0"/>
        <v>4672000</v>
      </c>
      <c r="H16" s="64">
        <f t="shared" ref="H16:H20" si="3">D16*F16</f>
        <v>100000</v>
      </c>
      <c r="I16" s="64">
        <f t="shared" si="2"/>
        <v>4772000</v>
      </c>
    </row>
    <row r="17" s="51" customFormat="1" ht="24.95" customHeight="1" spans="1:9">
      <c r="A17" s="64">
        <v>13</v>
      </c>
      <c r="B17" s="83" t="s">
        <v>986</v>
      </c>
      <c r="C17" s="64">
        <v>28029</v>
      </c>
      <c r="D17" s="64">
        <v>1702</v>
      </c>
      <c r="E17" s="64">
        <v>141.2</v>
      </c>
      <c r="F17" s="64">
        <v>2526.4</v>
      </c>
      <c r="G17" s="64">
        <f t="shared" si="0"/>
        <v>3957694.8</v>
      </c>
      <c r="H17" s="64">
        <f t="shared" si="3"/>
        <v>4299932.8</v>
      </c>
      <c r="I17" s="64">
        <f t="shared" si="2"/>
        <v>8257627.6</v>
      </c>
    </row>
    <row r="18" s="51" customFormat="1" ht="24.95" customHeight="1" spans="1:9">
      <c r="A18" s="64">
        <v>14</v>
      </c>
      <c r="B18" s="83" t="s">
        <v>987</v>
      </c>
      <c r="C18" s="64"/>
      <c r="D18" s="64">
        <v>1780</v>
      </c>
      <c r="E18" s="64"/>
      <c r="F18" s="64">
        <v>500</v>
      </c>
      <c r="G18" s="64">
        <f t="shared" si="0"/>
        <v>0</v>
      </c>
      <c r="H18" s="64">
        <f t="shared" si="3"/>
        <v>890000</v>
      </c>
      <c r="I18" s="64">
        <f t="shared" si="2"/>
        <v>890000</v>
      </c>
    </row>
    <row r="19" s="51" customFormat="1" ht="24.95" customHeight="1" spans="1:9">
      <c r="A19" s="64">
        <v>15</v>
      </c>
      <c r="B19" s="83" t="s">
        <v>244</v>
      </c>
      <c r="C19" s="64">
        <v>8630</v>
      </c>
      <c r="D19" s="64">
        <v>360</v>
      </c>
      <c r="E19" s="64">
        <v>130</v>
      </c>
      <c r="F19" s="64">
        <v>220</v>
      </c>
      <c r="G19" s="64">
        <f t="shared" si="0"/>
        <v>1121900</v>
      </c>
      <c r="H19" s="64">
        <f t="shared" si="3"/>
        <v>79200</v>
      </c>
      <c r="I19" s="64">
        <f t="shared" si="2"/>
        <v>1201100</v>
      </c>
    </row>
    <row r="20" s="51" customFormat="1" ht="24.95" customHeight="1" spans="1:9">
      <c r="A20" s="64">
        <v>16</v>
      </c>
      <c r="B20" s="83" t="s">
        <v>988</v>
      </c>
      <c r="C20" s="64">
        <v>19182</v>
      </c>
      <c r="D20" s="64">
        <v>650</v>
      </c>
      <c r="E20" s="64">
        <v>180</v>
      </c>
      <c r="F20" s="64">
        <v>4500</v>
      </c>
      <c r="G20" s="64">
        <f t="shared" si="0"/>
        <v>3452760</v>
      </c>
      <c r="H20" s="64">
        <f t="shared" si="3"/>
        <v>2925000</v>
      </c>
      <c r="I20" s="64">
        <f t="shared" si="2"/>
        <v>6377760</v>
      </c>
    </row>
    <row r="21" s="51" customFormat="1" ht="24.95" customHeight="1" spans="1:9">
      <c r="A21" s="64">
        <v>17</v>
      </c>
      <c r="B21" s="83" t="s">
        <v>989</v>
      </c>
      <c r="C21" s="64">
        <v>14500</v>
      </c>
      <c r="D21" s="64">
        <v>360</v>
      </c>
      <c r="E21" s="64">
        <v>160</v>
      </c>
      <c r="F21" s="64">
        <v>5600</v>
      </c>
      <c r="G21" s="64">
        <v>5000000</v>
      </c>
      <c r="H21" s="64">
        <v>5000000</v>
      </c>
      <c r="I21" s="64">
        <v>10000000</v>
      </c>
    </row>
    <row r="22" s="51" customFormat="1" ht="24.95" customHeight="1" spans="1:9">
      <c r="A22" s="64">
        <v>18</v>
      </c>
      <c r="B22" s="83" t="s">
        <v>218</v>
      </c>
      <c r="C22" s="64">
        <v>8800</v>
      </c>
      <c r="D22" s="64">
        <v>744</v>
      </c>
      <c r="E22" s="64">
        <v>180</v>
      </c>
      <c r="F22" s="64">
        <v>9400</v>
      </c>
      <c r="G22" s="64">
        <f t="shared" ref="G22:G33" si="4">C22*E22</f>
        <v>1584000</v>
      </c>
      <c r="H22" s="64">
        <f t="shared" ref="H22:H39" si="5">D22*F22</f>
        <v>6993600</v>
      </c>
      <c r="I22" s="64">
        <f t="shared" ref="I22:I37" si="6">G22+H22</f>
        <v>8577600</v>
      </c>
    </row>
    <row r="23" s="51" customFormat="1" ht="24.95" customHeight="1" spans="1:9">
      <c r="A23" s="64">
        <v>19</v>
      </c>
      <c r="B23" s="83" t="s">
        <v>232</v>
      </c>
      <c r="C23" s="64">
        <v>7751</v>
      </c>
      <c r="D23" s="64"/>
      <c r="E23" s="64">
        <v>286.46</v>
      </c>
      <c r="F23" s="64"/>
      <c r="G23" s="64">
        <f t="shared" si="4"/>
        <v>2220351.46</v>
      </c>
      <c r="H23" s="64">
        <f t="shared" si="5"/>
        <v>0</v>
      </c>
      <c r="I23" s="64">
        <f t="shared" si="6"/>
        <v>2220351.46</v>
      </c>
    </row>
    <row r="24" s="51" customFormat="1" ht="24.95" customHeight="1" spans="1:9">
      <c r="A24" s="64">
        <v>20</v>
      </c>
      <c r="B24" s="83" t="s">
        <v>363</v>
      </c>
      <c r="C24" s="64">
        <v>6120</v>
      </c>
      <c r="D24" s="64">
        <v>4</v>
      </c>
      <c r="E24" s="64">
        <v>163</v>
      </c>
      <c r="F24" s="64">
        <v>0.6</v>
      </c>
      <c r="G24" s="64">
        <f t="shared" si="4"/>
        <v>997560</v>
      </c>
      <c r="H24" s="64">
        <f t="shared" si="5"/>
        <v>2.4</v>
      </c>
      <c r="I24" s="64">
        <f t="shared" si="6"/>
        <v>997562.4</v>
      </c>
    </row>
    <row r="25" s="51" customFormat="1" ht="24.95" customHeight="1" spans="1:9">
      <c r="A25" s="64">
        <v>21</v>
      </c>
      <c r="B25" s="83" t="s">
        <v>990</v>
      </c>
      <c r="C25" s="64">
        <v>20178</v>
      </c>
      <c r="D25" s="64">
        <v>854</v>
      </c>
      <c r="E25" s="64">
        <v>115.33</v>
      </c>
      <c r="F25" s="64">
        <v>3899.6</v>
      </c>
      <c r="G25" s="64">
        <f t="shared" si="4"/>
        <v>2327128.74</v>
      </c>
      <c r="H25" s="64">
        <f t="shared" si="5"/>
        <v>3330258.4</v>
      </c>
      <c r="I25" s="64">
        <f t="shared" si="6"/>
        <v>5657387.14</v>
      </c>
    </row>
    <row r="26" s="51" customFormat="1" ht="25" customHeight="1" spans="1:9">
      <c r="A26" s="64">
        <v>22</v>
      </c>
      <c r="B26" s="83" t="s">
        <v>209</v>
      </c>
      <c r="C26" s="64">
        <v>22800</v>
      </c>
      <c r="D26" s="64">
        <v>0</v>
      </c>
      <c r="E26" s="64">
        <v>58.33</v>
      </c>
      <c r="F26" s="64">
        <v>0</v>
      </c>
      <c r="G26" s="64">
        <f t="shared" si="4"/>
        <v>1329924</v>
      </c>
      <c r="H26" s="64">
        <f t="shared" si="5"/>
        <v>0</v>
      </c>
      <c r="I26" s="64">
        <f t="shared" si="6"/>
        <v>1329924</v>
      </c>
    </row>
    <row r="27" s="51" customFormat="1" ht="24.95" customHeight="1" spans="1:9">
      <c r="A27" s="64">
        <v>23</v>
      </c>
      <c r="B27" s="83" t="s">
        <v>991</v>
      </c>
      <c r="C27" s="64">
        <v>45000</v>
      </c>
      <c r="D27" s="64">
        <v>950</v>
      </c>
      <c r="E27" s="64">
        <v>130</v>
      </c>
      <c r="F27" s="64">
        <v>4500</v>
      </c>
      <c r="G27" s="64">
        <f t="shared" si="4"/>
        <v>5850000</v>
      </c>
      <c r="H27" s="64">
        <f t="shared" si="5"/>
        <v>4275000</v>
      </c>
      <c r="I27" s="64">
        <f t="shared" si="6"/>
        <v>10125000</v>
      </c>
    </row>
    <row r="28" s="51" customFormat="1" ht="24.95" customHeight="1" spans="1:9">
      <c r="A28" s="64">
        <v>24</v>
      </c>
      <c r="B28" s="83" t="s">
        <v>206</v>
      </c>
      <c r="C28" s="64">
        <v>10000</v>
      </c>
      <c r="D28" s="64">
        <v>180</v>
      </c>
      <c r="E28" s="64">
        <v>690</v>
      </c>
      <c r="F28" s="64">
        <v>6111.1</v>
      </c>
      <c r="G28" s="64">
        <f t="shared" si="4"/>
        <v>6900000</v>
      </c>
      <c r="H28" s="64">
        <f t="shared" si="5"/>
        <v>1099998</v>
      </c>
      <c r="I28" s="64">
        <f t="shared" si="6"/>
        <v>7999998</v>
      </c>
    </row>
    <row r="29" s="51" customFormat="1" ht="24.95" customHeight="1" spans="1:9">
      <c r="A29" s="64">
        <v>25</v>
      </c>
      <c r="B29" s="83" t="s">
        <v>359</v>
      </c>
      <c r="C29" s="64">
        <v>20000</v>
      </c>
      <c r="D29" s="64">
        <v>700</v>
      </c>
      <c r="E29" s="64">
        <v>340</v>
      </c>
      <c r="F29" s="64">
        <v>3500</v>
      </c>
      <c r="G29" s="64">
        <f t="shared" si="4"/>
        <v>6800000</v>
      </c>
      <c r="H29" s="64">
        <f t="shared" si="5"/>
        <v>2450000</v>
      </c>
      <c r="I29" s="64">
        <f t="shared" si="6"/>
        <v>9250000</v>
      </c>
    </row>
    <row r="30" s="51" customFormat="1" ht="24.95" customHeight="1" spans="1:9">
      <c r="A30" s="64">
        <v>26</v>
      </c>
      <c r="B30" s="83" t="s">
        <v>216</v>
      </c>
      <c r="C30" s="64">
        <v>28000</v>
      </c>
      <c r="D30" s="64">
        <v>1423</v>
      </c>
      <c r="E30" s="64">
        <v>150</v>
      </c>
      <c r="F30" s="64">
        <v>3380.18</v>
      </c>
      <c r="G30" s="64">
        <f t="shared" si="4"/>
        <v>4200000</v>
      </c>
      <c r="H30" s="64">
        <f t="shared" si="5"/>
        <v>4809996.14</v>
      </c>
      <c r="I30" s="64">
        <f t="shared" si="6"/>
        <v>9009996.14</v>
      </c>
    </row>
    <row r="31" s="51" customFormat="1" ht="24.95" customHeight="1" spans="1:9">
      <c r="A31" s="64">
        <v>27</v>
      </c>
      <c r="B31" s="83" t="s">
        <v>252</v>
      </c>
      <c r="C31" s="64">
        <v>18000</v>
      </c>
      <c r="D31" s="64">
        <v>32</v>
      </c>
      <c r="E31" s="64">
        <v>204.44</v>
      </c>
      <c r="F31" s="64">
        <v>6144.36</v>
      </c>
      <c r="G31" s="64">
        <f t="shared" si="4"/>
        <v>3679920</v>
      </c>
      <c r="H31" s="64">
        <f t="shared" si="5"/>
        <v>196619.52</v>
      </c>
      <c r="I31" s="64">
        <f t="shared" si="6"/>
        <v>3876539.52</v>
      </c>
    </row>
    <row r="32" s="51" customFormat="1" ht="24.95" customHeight="1" spans="1:9">
      <c r="A32" s="64">
        <v>28</v>
      </c>
      <c r="B32" s="83" t="s">
        <v>992</v>
      </c>
      <c r="C32" s="64">
        <v>7348</v>
      </c>
      <c r="D32" s="64">
        <v>0</v>
      </c>
      <c r="E32" s="64">
        <v>249.35</v>
      </c>
      <c r="F32" s="64"/>
      <c r="G32" s="64">
        <f t="shared" si="4"/>
        <v>1832223.8</v>
      </c>
      <c r="H32" s="64">
        <f t="shared" si="5"/>
        <v>0</v>
      </c>
      <c r="I32" s="64">
        <f t="shared" si="6"/>
        <v>1832223.8</v>
      </c>
    </row>
    <row r="33" s="51" customFormat="1" ht="24.95" customHeight="1" spans="1:9">
      <c r="A33" s="64">
        <v>29</v>
      </c>
      <c r="B33" s="83" t="s">
        <v>993</v>
      </c>
      <c r="C33" s="64">
        <v>1200</v>
      </c>
      <c r="D33" s="64">
        <v>148</v>
      </c>
      <c r="E33" s="64">
        <v>191.67</v>
      </c>
      <c r="F33" s="64">
        <v>7770</v>
      </c>
      <c r="G33" s="64">
        <f t="shared" si="4"/>
        <v>230004</v>
      </c>
      <c r="H33" s="64">
        <f t="shared" si="5"/>
        <v>1149960</v>
      </c>
      <c r="I33" s="64">
        <f t="shared" si="6"/>
        <v>1379964</v>
      </c>
    </row>
    <row r="34" s="51" customFormat="1" ht="24.95" customHeight="1" spans="1:9">
      <c r="A34" s="64">
        <v>30</v>
      </c>
      <c r="B34" s="83" t="s">
        <v>213</v>
      </c>
      <c r="C34" s="64">
        <v>50000</v>
      </c>
      <c r="D34" s="64">
        <v>0</v>
      </c>
      <c r="E34" s="84"/>
      <c r="F34" s="85"/>
      <c r="G34" s="64">
        <v>2400000</v>
      </c>
      <c r="H34" s="64">
        <f t="shared" si="5"/>
        <v>0</v>
      </c>
      <c r="I34" s="64">
        <f t="shared" si="6"/>
        <v>2400000</v>
      </c>
    </row>
    <row r="35" s="51" customFormat="1" ht="29" customHeight="1" spans="1:9">
      <c r="A35" s="64">
        <v>31</v>
      </c>
      <c r="B35" s="83" t="s">
        <v>520</v>
      </c>
      <c r="C35" s="64">
        <v>79888</v>
      </c>
      <c r="D35" s="64">
        <v>161</v>
      </c>
      <c r="E35" s="64">
        <v>82.46</v>
      </c>
      <c r="F35" s="64">
        <v>2453.09</v>
      </c>
      <c r="G35" s="64">
        <f t="shared" ref="G35:G37" si="7">C35*E35</f>
        <v>6587564.48</v>
      </c>
      <c r="H35" s="64">
        <f t="shared" si="5"/>
        <v>394947.49</v>
      </c>
      <c r="I35" s="64">
        <f t="shared" si="6"/>
        <v>6982511.97</v>
      </c>
    </row>
    <row r="36" s="51" customFormat="1" ht="24.95" customHeight="1" spans="1:9">
      <c r="A36" s="64">
        <v>32</v>
      </c>
      <c r="B36" s="83" t="s">
        <v>994</v>
      </c>
      <c r="C36" s="64"/>
      <c r="D36" s="64">
        <v>12</v>
      </c>
      <c r="E36" s="64"/>
      <c r="F36" s="64">
        <v>2500</v>
      </c>
      <c r="G36" s="64">
        <f t="shared" si="7"/>
        <v>0</v>
      </c>
      <c r="H36" s="64">
        <f t="shared" si="5"/>
        <v>30000</v>
      </c>
      <c r="I36" s="64">
        <f t="shared" si="6"/>
        <v>30000</v>
      </c>
    </row>
    <row r="37" s="51" customFormat="1" ht="24.95" customHeight="1" spans="1:9">
      <c r="A37" s="64">
        <v>33</v>
      </c>
      <c r="B37" s="83" t="s">
        <v>995</v>
      </c>
      <c r="C37" s="64">
        <v>3700</v>
      </c>
      <c r="D37" s="64">
        <v>45</v>
      </c>
      <c r="E37" s="64">
        <v>50</v>
      </c>
      <c r="F37" s="64">
        <v>2500</v>
      </c>
      <c r="G37" s="64">
        <f t="shared" si="7"/>
        <v>185000</v>
      </c>
      <c r="H37" s="64">
        <f t="shared" si="5"/>
        <v>112500</v>
      </c>
      <c r="I37" s="64">
        <f t="shared" si="6"/>
        <v>297500</v>
      </c>
    </row>
    <row r="38" s="51" customFormat="1" ht="24.95" customHeight="1" spans="1:9">
      <c r="A38" s="64">
        <v>34</v>
      </c>
      <c r="B38" s="64" t="s">
        <v>996</v>
      </c>
      <c r="C38" s="64"/>
      <c r="D38" s="64"/>
      <c r="E38" s="64"/>
      <c r="F38" s="64"/>
      <c r="G38" s="64">
        <f>407.73*10000</f>
        <v>4077300</v>
      </c>
      <c r="H38" s="64">
        <f t="shared" si="5"/>
        <v>0</v>
      </c>
      <c r="I38" s="64">
        <f>407.73*10000</f>
        <v>4077300</v>
      </c>
    </row>
    <row r="39" s="51" customFormat="1" ht="24.95" customHeight="1" spans="1:9">
      <c r="A39" s="64">
        <v>35</v>
      </c>
      <c r="B39" s="64" t="s">
        <v>997</v>
      </c>
      <c r="C39" s="64"/>
      <c r="D39" s="64"/>
      <c r="E39" s="64"/>
      <c r="F39" s="64"/>
      <c r="G39" s="64">
        <f>668*10000</f>
        <v>6680000</v>
      </c>
      <c r="H39" s="64">
        <f t="shared" si="5"/>
        <v>0</v>
      </c>
      <c r="I39" s="64">
        <f>668*10000</f>
        <v>6680000</v>
      </c>
    </row>
    <row r="40" s="51" customFormat="1" ht="35" customHeight="1" spans="1:9">
      <c r="A40" s="86"/>
      <c r="B40" s="65" t="s">
        <v>34</v>
      </c>
      <c r="C40" s="65">
        <f t="shared" ref="C40:F40" si="8">SUM(C5:C36)</f>
        <v>601283</v>
      </c>
      <c r="D40" s="65">
        <f t="shared" si="8"/>
        <v>15234</v>
      </c>
      <c r="E40" s="65">
        <f t="shared" si="8"/>
        <v>8871.96</v>
      </c>
      <c r="F40" s="65">
        <f t="shared" si="8"/>
        <v>160703.35</v>
      </c>
      <c r="G40" s="65">
        <f t="shared" ref="G40:I40" si="9">SUM(G5:G39)</f>
        <v>113105294.44</v>
      </c>
      <c r="H40" s="65">
        <f t="shared" si="9"/>
        <v>79194765.76</v>
      </c>
      <c r="I40" s="65">
        <f t="shared" si="9"/>
        <v>192300060.2</v>
      </c>
    </row>
    <row r="41" s="44" customFormat="1" ht="21" hidden="1" customHeight="1" spans="3:7">
      <c r="C41" s="44" t="s">
        <v>76</v>
      </c>
      <c r="E41" s="44" t="s">
        <v>77</v>
      </c>
      <c r="G41" s="44" t="s">
        <v>78</v>
      </c>
    </row>
    <row r="42" s="44" customFormat="1" hidden="1" spans="1:1">
      <c r="A42" s="2"/>
    </row>
    <row r="43" s="44" customFormat="1" hidden="1" spans="1:7">
      <c r="A43" s="2"/>
      <c r="E43" s="64" t="s">
        <v>998</v>
      </c>
      <c r="F43" s="85" t="s">
        <v>999</v>
      </c>
      <c r="G43" s="85">
        <v>25278175</v>
      </c>
    </row>
    <row r="44" s="44" customFormat="1" hidden="1" spans="1:7">
      <c r="A44" s="2"/>
      <c r="E44" s="64"/>
      <c r="F44" s="85" t="s">
        <v>996</v>
      </c>
      <c r="G44" s="85">
        <v>3529860</v>
      </c>
    </row>
    <row r="45" s="44" customFormat="1" hidden="1" spans="1:7">
      <c r="A45" s="2"/>
      <c r="E45" s="64"/>
      <c r="F45" s="85" t="s">
        <v>997</v>
      </c>
      <c r="G45" s="85">
        <v>6679008</v>
      </c>
    </row>
    <row r="46" s="44" customFormat="1" hidden="1" spans="1:9">
      <c r="A46" s="2"/>
      <c r="E46" s="64" t="s">
        <v>34</v>
      </c>
      <c r="F46" s="85"/>
      <c r="G46" s="85">
        <f>G40+G43+G44+G45</f>
        <v>148592337.44</v>
      </c>
      <c r="H46" s="44">
        <v>61728691.18</v>
      </c>
      <c r="I46" s="44">
        <f>G46+H46</f>
        <v>210321028.62</v>
      </c>
    </row>
    <row r="47" s="44" customFormat="1" hidden="1" spans="1:1">
      <c r="A47" s="2"/>
    </row>
    <row r="48" s="44" customFormat="1" hidden="1" spans="1:9">
      <c r="A48" s="2"/>
      <c r="G48" s="44">
        <v>138685538.0988</v>
      </c>
      <c r="H48" s="44">
        <v>58105606.05</v>
      </c>
      <c r="I48" s="44">
        <f>G48+H48</f>
        <v>196791144.1488</v>
      </c>
    </row>
    <row r="49" s="44" customFormat="1" hidden="1" spans="1:1">
      <c r="A49" s="2"/>
    </row>
    <row r="50" s="44" customFormat="1" hidden="1" spans="1:1">
      <c r="A50" s="2"/>
    </row>
    <row r="51" s="44" customFormat="1" hidden="1" spans="1:1">
      <c r="A51" s="2"/>
    </row>
    <row r="52" s="44" customFormat="1" hidden="1" spans="1:9">
      <c r="A52" s="2"/>
      <c r="I52" s="44">
        <f>I46-I48</f>
        <v>13529884.4712</v>
      </c>
    </row>
    <row r="53" s="44" customFormat="1" hidden="1" spans="1:1">
      <c r="A53" s="2"/>
    </row>
    <row r="54" s="44" customFormat="1" spans="1:1">
      <c r="A54" s="2"/>
    </row>
    <row r="55" s="44" customFormat="1" spans="1:8">
      <c r="A55" s="2"/>
      <c r="C55" s="44" t="s">
        <v>76</v>
      </c>
      <c r="E55" s="5"/>
      <c r="F55" s="77" t="s">
        <v>77</v>
      </c>
      <c r="G55" s="68"/>
      <c r="H55" s="68" t="s">
        <v>140</v>
      </c>
    </row>
    <row r="56" s="44" customFormat="1" ht="8" customHeight="1" spans="1:1">
      <c r="A56" s="2"/>
    </row>
    <row r="57" s="44" customFormat="1" hidden="1" spans="1:8">
      <c r="A57" s="2"/>
      <c r="H57" s="44">
        <f>G40+H40</f>
        <v>192300060.2</v>
      </c>
    </row>
    <row r="58" s="44" customFormat="1" hidden="1" spans="1:8">
      <c r="A58" s="2"/>
      <c r="H58" s="44">
        <f>I40-H57</f>
        <v>0</v>
      </c>
    </row>
    <row r="59" s="44" customFormat="1" hidden="1" spans="1:1">
      <c r="A59" s="2"/>
    </row>
    <row r="60" s="44" customFormat="1" spans="1:1">
      <c r="A60" s="2"/>
    </row>
    <row r="61" s="44" customFormat="1" spans="1:1">
      <c r="A61" s="2"/>
    </row>
    <row r="62" s="44" customFormat="1" spans="1:1">
      <c r="A62" s="2"/>
    </row>
    <row r="63" s="44" customFormat="1" spans="1:1">
      <c r="A63" s="2"/>
    </row>
    <row r="64" s="44" customFormat="1" spans="1:1">
      <c r="A64" s="2"/>
    </row>
    <row r="65" s="44" customFormat="1" ht="6" customHeight="1" spans="1:1">
      <c r="A65" s="2"/>
    </row>
    <row r="66" s="44" customFormat="1" hidden="1" spans="1:1">
      <c r="A66" s="2"/>
    </row>
    <row r="67" s="44" customFormat="1" hidden="1" spans="1:1">
      <c r="A67" s="2"/>
    </row>
    <row r="68" s="44" customFormat="1" hidden="1" spans="1:7">
      <c r="A68" s="2"/>
      <c r="G68" s="44">
        <f>G40-G39-G38</f>
        <v>102347994.44</v>
      </c>
    </row>
    <row r="69" s="44" customFormat="1" spans="1:1">
      <c r="A69" s="2"/>
    </row>
    <row r="70" s="44" customFormat="1" spans="1:1">
      <c r="A70" s="2"/>
    </row>
    <row r="71" s="44" customFormat="1" spans="1:1">
      <c r="A71" s="2"/>
    </row>
    <row r="72" s="44" customFormat="1" spans="1:1">
      <c r="A72" s="2"/>
    </row>
    <row r="73" s="44" customFormat="1" spans="1:1">
      <c r="A73" s="2"/>
    </row>
  </sheetData>
  <mergeCells count="8">
    <mergeCell ref="A1:I1"/>
    <mergeCell ref="C3:D3"/>
    <mergeCell ref="E3:F3"/>
    <mergeCell ref="G3:I3"/>
    <mergeCell ref="E46:F46"/>
    <mergeCell ref="A3:A4"/>
    <mergeCell ref="B3:B4"/>
    <mergeCell ref="E43:E45"/>
  </mergeCells>
  <pageMargins left="0.432638888888889" right="0.511805555555556" top="1" bottom="1" header="0.5" footer="0.5"/>
  <pageSetup paperSize="9" scale="75"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workbookViewId="0">
      <selection activeCell="C3" sqref="C3:C4"/>
    </sheetView>
  </sheetViews>
  <sheetFormatPr defaultColWidth="9" defaultRowHeight="13.5" outlineLevelCol="7"/>
  <cols>
    <col min="1" max="1" width="30.4666666666667" style="2" customWidth="1"/>
    <col min="2" max="2" width="49.05" style="754" customWidth="1"/>
    <col min="3" max="3" width="49.85" style="68" customWidth="1"/>
    <col min="4" max="4" width="9" style="2"/>
    <col min="5" max="5" width="0.75" style="2" customWidth="1"/>
    <col min="6" max="8" width="9" style="2" hidden="1" customWidth="1"/>
    <col min="9" max="16384" width="9" style="2"/>
  </cols>
  <sheetData>
    <row r="1" s="2" customFormat="1" ht="33" customHeight="1" spans="1:3">
      <c r="A1" s="755" t="s">
        <v>53</v>
      </c>
      <c r="B1" s="755"/>
      <c r="C1" s="755"/>
    </row>
    <row r="2" s="753" customFormat="1" ht="39" customHeight="1" spans="1:3">
      <c r="A2" s="756" t="s">
        <v>54</v>
      </c>
      <c r="B2" s="757"/>
      <c r="C2" s="757"/>
    </row>
    <row r="3" s="753" customFormat="1" ht="30" customHeight="1" spans="1:3">
      <c r="A3" s="758" t="s">
        <v>55</v>
      </c>
      <c r="B3" s="759" t="s">
        <v>56</v>
      </c>
      <c r="C3" s="760" t="s">
        <v>57</v>
      </c>
    </row>
    <row r="4" s="753" customFormat="1" ht="1" customHeight="1" spans="1:3">
      <c r="A4" s="758"/>
      <c r="B4" s="759"/>
      <c r="C4" s="760"/>
    </row>
    <row r="5" s="2" customFormat="1" ht="28" customHeight="1" spans="1:8">
      <c r="A5" s="761"/>
      <c r="B5" s="762" t="s">
        <v>58</v>
      </c>
      <c r="C5" s="763">
        <f>C6+C13+C14+C15+C16+C17+C18+C19+C20+C21+C22+C24</f>
        <v>3826.99</v>
      </c>
      <c r="F5" s="2">
        <v>3959.3</v>
      </c>
      <c r="H5" s="2">
        <f>F5-C5</f>
        <v>132.31</v>
      </c>
    </row>
    <row r="6" s="2" customFormat="1" ht="25" customHeight="1" spans="1:6">
      <c r="A6" s="764">
        <v>1</v>
      </c>
      <c r="B6" s="765" t="s">
        <v>59</v>
      </c>
      <c r="C6" s="751">
        <v>1816.86</v>
      </c>
      <c r="F6" s="2">
        <v>1891.02</v>
      </c>
    </row>
    <row r="7" s="2" customFormat="1" ht="25" customHeight="1" spans="1:6">
      <c r="A7" s="764"/>
      <c r="B7" s="766" t="s">
        <v>60</v>
      </c>
      <c r="C7" s="420">
        <v>55</v>
      </c>
      <c r="F7" s="2">
        <v>118.77</v>
      </c>
    </row>
    <row r="8" s="2" customFormat="1" ht="25" customHeight="1" spans="1:6">
      <c r="A8" s="764"/>
      <c r="B8" s="767" t="s">
        <v>61</v>
      </c>
      <c r="C8" s="428">
        <v>836.86</v>
      </c>
      <c r="F8" s="2">
        <v>847.25</v>
      </c>
    </row>
    <row r="9" s="2" customFormat="1" ht="25" customHeight="1" spans="1:6">
      <c r="A9" s="764"/>
      <c r="B9" s="767" t="s">
        <v>62</v>
      </c>
      <c r="C9" s="407">
        <v>786.31</v>
      </c>
      <c r="F9" s="2">
        <v>789.5</v>
      </c>
    </row>
    <row r="10" s="2" customFormat="1" ht="25" customHeight="1" spans="1:6">
      <c r="A10" s="764"/>
      <c r="B10" s="767" t="s">
        <v>63</v>
      </c>
      <c r="C10" s="407">
        <f>33+0.75</f>
        <v>33.75</v>
      </c>
      <c r="F10" s="2">
        <v>33.75</v>
      </c>
    </row>
    <row r="11" s="2" customFormat="1" ht="25" customHeight="1" spans="1:6">
      <c r="A11" s="764"/>
      <c r="B11" s="768" t="s">
        <v>64</v>
      </c>
      <c r="C11" s="449">
        <v>16.8</v>
      </c>
      <c r="F11" s="2">
        <v>24</v>
      </c>
    </row>
    <row r="12" s="2" customFormat="1" ht="25" customHeight="1" spans="1:6">
      <c r="A12" s="764"/>
      <c r="B12" s="767" t="s">
        <v>65</v>
      </c>
      <c r="C12" s="420">
        <v>925</v>
      </c>
      <c r="F12" s="2">
        <v>925</v>
      </c>
    </row>
    <row r="13" s="2" customFormat="1" ht="25" customHeight="1" spans="1:6">
      <c r="A13" s="720">
        <v>2</v>
      </c>
      <c r="B13" s="769" t="s">
        <v>66</v>
      </c>
      <c r="C13" s="751">
        <v>69.18</v>
      </c>
      <c r="F13" s="2">
        <v>127.33</v>
      </c>
    </row>
    <row r="14" s="2" customFormat="1" ht="25" customHeight="1" spans="1:6">
      <c r="A14" s="720">
        <v>3</v>
      </c>
      <c r="B14" s="770" t="s">
        <v>67</v>
      </c>
      <c r="C14" s="751">
        <v>82.3</v>
      </c>
      <c r="F14" s="2">
        <v>82.3</v>
      </c>
    </row>
    <row r="15" s="2" customFormat="1" ht="25" customHeight="1" spans="1:6">
      <c r="A15" s="720">
        <v>4</v>
      </c>
      <c r="B15" s="771" t="s">
        <v>68</v>
      </c>
      <c r="C15" s="751">
        <v>58.67</v>
      </c>
      <c r="F15" s="2">
        <v>58.67</v>
      </c>
    </row>
    <row r="16" s="2" customFormat="1" ht="25" customHeight="1" spans="1:6">
      <c r="A16" s="720">
        <v>5</v>
      </c>
      <c r="B16" s="769" t="s">
        <v>69</v>
      </c>
      <c r="C16" s="751">
        <v>53.99</v>
      </c>
      <c r="F16" s="2">
        <v>53.99</v>
      </c>
    </row>
    <row r="17" s="2" customFormat="1" ht="25" customHeight="1" spans="1:6">
      <c r="A17" s="720">
        <v>6</v>
      </c>
      <c r="B17" s="772" t="s">
        <v>70</v>
      </c>
      <c r="C17" s="773">
        <v>35.5</v>
      </c>
      <c r="F17" s="2">
        <v>35.5</v>
      </c>
    </row>
    <row r="18" s="2" customFormat="1" ht="25" customHeight="1" spans="1:6">
      <c r="A18" s="720">
        <v>7</v>
      </c>
      <c r="B18" s="772" t="s">
        <v>71</v>
      </c>
      <c r="C18" s="751">
        <f>5+30</f>
        <v>35</v>
      </c>
      <c r="F18" s="2">
        <v>35</v>
      </c>
    </row>
    <row r="19" s="2" customFormat="1" ht="25" customHeight="1" spans="1:6">
      <c r="A19" s="720">
        <v>8</v>
      </c>
      <c r="B19" s="770" t="s">
        <v>72</v>
      </c>
      <c r="C19" s="774">
        <v>9</v>
      </c>
      <c r="F19" s="2">
        <v>9</v>
      </c>
    </row>
    <row r="20" s="2" customFormat="1" ht="25" customHeight="1" spans="1:6">
      <c r="A20" s="720">
        <v>9</v>
      </c>
      <c r="B20" s="772" t="s">
        <v>73</v>
      </c>
      <c r="C20" s="773">
        <v>8.5</v>
      </c>
      <c r="F20" s="2">
        <v>8.5</v>
      </c>
    </row>
    <row r="21" s="2" customFormat="1" ht="25" customHeight="1" spans="1:6">
      <c r="A21" s="720">
        <v>10</v>
      </c>
      <c r="B21" s="769" t="s">
        <v>74</v>
      </c>
      <c r="C21" s="751">
        <v>7.5</v>
      </c>
      <c r="F21" s="2">
        <v>7.5</v>
      </c>
    </row>
    <row r="22" s="2" customFormat="1" ht="22" customHeight="1" spans="1:6">
      <c r="A22" s="720">
        <v>11</v>
      </c>
      <c r="B22" s="770" t="s">
        <v>75</v>
      </c>
      <c r="C22" s="751">
        <v>3.1</v>
      </c>
      <c r="F22" s="2">
        <v>3.1</v>
      </c>
    </row>
    <row r="23" s="753" customFormat="1" ht="27" customHeight="1" spans="1:3">
      <c r="A23" s="775" t="s">
        <v>76</v>
      </c>
      <c r="B23" s="776" t="s">
        <v>77</v>
      </c>
      <c r="C23" s="777" t="s">
        <v>78</v>
      </c>
    </row>
    <row r="24" hidden="1" spans="3:4">
      <c r="C24" s="68">
        <v>1647.39</v>
      </c>
      <c r="D24" s="2" t="s">
        <v>79</v>
      </c>
    </row>
  </sheetData>
  <mergeCells count="5">
    <mergeCell ref="A1:C1"/>
    <mergeCell ref="A3:A4"/>
    <mergeCell ref="A6:A12"/>
    <mergeCell ref="B3:B4"/>
    <mergeCell ref="C3:C4"/>
  </mergeCells>
  <pageMargins left="1.22013888888889" right="0.75" top="0.472222222222222" bottom="0.472222222222222" header="0.5" footer="0.5"/>
  <pageSetup paperSize="9" scale="88"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X8" sqref="X8"/>
    </sheetView>
  </sheetViews>
  <sheetFormatPr defaultColWidth="9" defaultRowHeight="13.5"/>
  <cols>
    <col min="1" max="1" width="9" style="68"/>
    <col min="2" max="2" width="14.125" style="68" customWidth="1"/>
    <col min="3" max="3" width="17.75" style="68" customWidth="1"/>
    <col min="4" max="4" width="16.875" style="68" customWidth="1"/>
    <col min="5" max="5" width="11.875" style="68" hidden="1" customWidth="1"/>
    <col min="6" max="6" width="14.5" style="68" hidden="1" customWidth="1"/>
    <col min="7" max="8" width="15.5" style="68" customWidth="1"/>
    <col min="9" max="9" width="14.125" style="68"/>
    <col min="10" max="16384" width="9" style="2"/>
  </cols>
  <sheetData>
    <row r="1" ht="32.25" spans="1:8">
      <c r="A1" s="52" t="s">
        <v>1000</v>
      </c>
      <c r="B1" s="52"/>
      <c r="C1" s="52"/>
      <c r="D1" s="52"/>
      <c r="E1" s="52"/>
      <c r="F1" s="52"/>
      <c r="G1" s="52"/>
      <c r="H1" s="52"/>
    </row>
    <row r="2" ht="33" customHeight="1" spans="1:9">
      <c r="A2" s="57" t="s">
        <v>55</v>
      </c>
      <c r="B2" s="57" t="s">
        <v>345</v>
      </c>
      <c r="C2" s="65" t="s">
        <v>976</v>
      </c>
      <c r="D2" s="65"/>
      <c r="E2" s="57" t="s">
        <v>977</v>
      </c>
      <c r="F2" s="57"/>
      <c r="G2" s="69" t="s">
        <v>1001</v>
      </c>
      <c r="H2" s="70"/>
      <c r="I2" s="57" t="s">
        <v>1002</v>
      </c>
    </row>
    <row r="3" ht="30" customHeight="1" spans="1:9">
      <c r="A3" s="57"/>
      <c r="B3" s="57"/>
      <c r="C3" s="57" t="s">
        <v>979</v>
      </c>
      <c r="D3" s="57" t="s">
        <v>980</v>
      </c>
      <c r="E3" s="57" t="s">
        <v>981</v>
      </c>
      <c r="F3" s="57" t="s">
        <v>982</v>
      </c>
      <c r="G3" s="57" t="s">
        <v>981</v>
      </c>
      <c r="H3" s="57" t="s">
        <v>982</v>
      </c>
      <c r="I3" s="57"/>
    </row>
    <row r="4" ht="33" customHeight="1" spans="1:9">
      <c r="A4" s="71">
        <v>1</v>
      </c>
      <c r="B4" s="71" t="s">
        <v>1003</v>
      </c>
      <c r="C4" s="71">
        <v>19700</v>
      </c>
      <c r="D4" s="71">
        <v>2050</v>
      </c>
      <c r="E4" s="71"/>
      <c r="F4" s="71"/>
      <c r="G4" s="72">
        <v>485700</v>
      </c>
      <c r="H4" s="72">
        <v>155300</v>
      </c>
      <c r="I4" s="71">
        <f>G4+H4</f>
        <v>641000</v>
      </c>
    </row>
    <row r="5" ht="27" customHeight="1" spans="1:9">
      <c r="A5" s="71">
        <v>2</v>
      </c>
      <c r="B5" s="71" t="s">
        <v>352</v>
      </c>
      <c r="C5" s="71">
        <v>25123</v>
      </c>
      <c r="D5" s="71">
        <v>7123</v>
      </c>
      <c r="E5" s="71"/>
      <c r="F5" s="71"/>
      <c r="G5" s="72">
        <v>2659729</v>
      </c>
      <c r="H5" s="72">
        <v>1166961</v>
      </c>
      <c r="I5" s="71">
        <f>G5+H5</f>
        <v>3826690</v>
      </c>
    </row>
    <row r="6" ht="36" customHeight="1" spans="1:9">
      <c r="A6" s="71">
        <v>3</v>
      </c>
      <c r="B6" s="71" t="s">
        <v>211</v>
      </c>
      <c r="C6" s="71">
        <v>99909</v>
      </c>
      <c r="D6" s="71">
        <v>77320</v>
      </c>
      <c r="E6" s="71">
        <v>78.37</v>
      </c>
      <c r="F6" s="71">
        <v>116.32</v>
      </c>
      <c r="G6" s="72">
        <f>C6*E6</f>
        <v>7829868.33</v>
      </c>
      <c r="H6" s="72">
        <f>D6*F6</f>
        <v>8993862.4</v>
      </c>
      <c r="I6" s="71">
        <f>G6+H6</f>
        <v>16823730.73</v>
      </c>
    </row>
    <row r="7" ht="36" customHeight="1" spans="1:9">
      <c r="A7" s="71">
        <v>4</v>
      </c>
      <c r="B7" s="71" t="s">
        <v>354</v>
      </c>
      <c r="C7" s="71">
        <v>34650</v>
      </c>
      <c r="D7" s="71">
        <v>8926</v>
      </c>
      <c r="E7" s="71"/>
      <c r="F7" s="71"/>
      <c r="G7" s="72">
        <v>7900000</v>
      </c>
      <c r="H7" s="72">
        <v>4100000</v>
      </c>
      <c r="I7" s="71">
        <f>G7+H7</f>
        <v>12000000</v>
      </c>
    </row>
    <row r="8" s="67" customFormat="1" ht="39" customHeight="1" spans="1:9">
      <c r="A8" s="73" t="s">
        <v>34</v>
      </c>
      <c r="B8" s="73"/>
      <c r="C8" s="73">
        <f>SUM(C4:C7)</f>
        <v>179382</v>
      </c>
      <c r="D8" s="73">
        <f>SUM(D4:D7)</f>
        <v>95419</v>
      </c>
      <c r="E8" s="74"/>
      <c r="F8" s="75"/>
      <c r="G8" s="75"/>
      <c r="H8" s="75"/>
      <c r="I8" s="75">
        <f>G8+H8+SUM(I4:I7)</f>
        <v>33291420.73</v>
      </c>
    </row>
    <row r="9" hidden="1"/>
    <row r="10" ht="14.25" hidden="1" spans="2:8">
      <c r="B10" s="51" t="s">
        <v>76</v>
      </c>
      <c r="D10" s="51" t="s">
        <v>77</v>
      </c>
      <c r="F10" s="51" t="s">
        <v>78</v>
      </c>
      <c r="G10" s="76"/>
      <c r="H10" s="76"/>
    </row>
    <row r="12" ht="14.25" spans="2:7">
      <c r="B12" s="44" t="s">
        <v>76</v>
      </c>
      <c r="C12" s="77" t="s">
        <v>77</v>
      </c>
      <c r="D12" s="5"/>
      <c r="E12" t="s">
        <v>140</v>
      </c>
      <c r="G12" s="68" t="s">
        <v>140</v>
      </c>
    </row>
  </sheetData>
  <mergeCells count="8">
    <mergeCell ref="A1:H1"/>
    <mergeCell ref="C2:D2"/>
    <mergeCell ref="E2:F2"/>
    <mergeCell ref="G2:H2"/>
    <mergeCell ref="E8:F8"/>
    <mergeCell ref="A2:A3"/>
    <mergeCell ref="B2:B3"/>
    <mergeCell ref="I2:I3"/>
  </mergeCells>
  <pageMargins left="0.75"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E2" sqref="E2:E3"/>
    </sheetView>
  </sheetViews>
  <sheetFormatPr defaultColWidth="9" defaultRowHeight="14.25" outlineLevelCol="4"/>
  <cols>
    <col min="1" max="1" width="22.75" style="44" customWidth="1"/>
    <col min="2" max="2" width="20.625" style="44" customWidth="1"/>
    <col min="3" max="3" width="20.5" style="44" customWidth="1"/>
    <col min="4" max="4" width="20" style="44" customWidth="1"/>
    <col min="5" max="5" width="23.25" style="44" customWidth="1"/>
    <col min="6" max="16384" width="9" style="44"/>
  </cols>
  <sheetData>
    <row r="1" ht="39" customHeight="1" spans="1:5">
      <c r="A1" s="52" t="s">
        <v>1004</v>
      </c>
      <c r="B1" s="52"/>
      <c r="C1" s="52"/>
      <c r="D1" s="52"/>
      <c r="E1" s="52"/>
    </row>
    <row r="2" ht="29.1" customHeight="1" spans="1:5">
      <c r="A2" s="53" t="s">
        <v>345</v>
      </c>
      <c r="B2" s="54" t="s">
        <v>1005</v>
      </c>
      <c r="C2" s="55"/>
      <c r="D2" s="56"/>
      <c r="E2" s="57" t="s">
        <v>1006</v>
      </c>
    </row>
    <row r="3" ht="24" customHeight="1" spans="1:5">
      <c r="A3" s="58"/>
      <c r="B3" s="59" t="s">
        <v>1007</v>
      </c>
      <c r="C3" s="59" t="s">
        <v>1008</v>
      </c>
      <c r="D3" s="59" t="s">
        <v>34</v>
      </c>
      <c r="E3" s="57"/>
    </row>
    <row r="4" s="45" customFormat="1" ht="30" customHeight="1" spans="1:5">
      <c r="A4" s="60" t="s">
        <v>1009</v>
      </c>
      <c r="B4" s="61">
        <v>19000</v>
      </c>
      <c r="C4" s="61">
        <v>28000</v>
      </c>
      <c r="D4" s="61"/>
      <c r="E4" s="62">
        <v>10000000</v>
      </c>
    </row>
    <row r="5" s="51" customFormat="1" ht="30" customHeight="1" spans="1:5">
      <c r="A5" s="63" t="s">
        <v>1010</v>
      </c>
      <c r="B5" s="64">
        <v>12400</v>
      </c>
      <c r="C5" s="64">
        <v>26300</v>
      </c>
      <c r="D5" s="61">
        <f>B5+C5</f>
        <v>38700</v>
      </c>
      <c r="E5" s="62">
        <v>10000000</v>
      </c>
    </row>
    <row r="6" s="45" customFormat="1" ht="30" customHeight="1" spans="1:5">
      <c r="A6" s="60" t="s">
        <v>1011</v>
      </c>
      <c r="B6" s="61">
        <v>17500</v>
      </c>
      <c r="C6" s="61">
        <v>22000</v>
      </c>
      <c r="D6" s="61">
        <f>B6+C6</f>
        <v>39500</v>
      </c>
      <c r="E6" s="62">
        <v>8931250</v>
      </c>
    </row>
    <row r="7" s="45" customFormat="1" ht="30" customHeight="1" spans="1:5">
      <c r="A7" s="60" t="s">
        <v>1012</v>
      </c>
      <c r="B7" s="61">
        <v>11200</v>
      </c>
      <c r="C7" s="61">
        <v>12000</v>
      </c>
      <c r="D7" s="61">
        <f>B7+C7</f>
        <v>23200</v>
      </c>
      <c r="E7" s="62">
        <v>3200000</v>
      </c>
    </row>
    <row r="8" s="45" customFormat="1" ht="35" customHeight="1" spans="1:5">
      <c r="A8" s="60" t="s">
        <v>1013</v>
      </c>
      <c r="B8" s="64">
        <v>12000</v>
      </c>
      <c r="C8" s="64">
        <v>15000</v>
      </c>
      <c r="D8" s="61">
        <f>B8+C8</f>
        <v>27000</v>
      </c>
      <c r="E8" s="62">
        <v>5000000</v>
      </c>
    </row>
    <row r="9" s="45" customFormat="1" ht="33" customHeight="1" spans="1:5">
      <c r="A9" s="60" t="s">
        <v>1014</v>
      </c>
      <c r="B9" s="64"/>
      <c r="C9" s="64"/>
      <c r="D9" s="61"/>
      <c r="E9" s="62"/>
    </row>
    <row r="10" s="51" customFormat="1" ht="30" customHeight="1" spans="1:5">
      <c r="A10" s="65" t="s">
        <v>34</v>
      </c>
      <c r="B10" s="65">
        <f>SUM(B4:B9)</f>
        <v>72100</v>
      </c>
      <c r="C10" s="65">
        <f>SUM(C4:C9)</f>
        <v>103300</v>
      </c>
      <c r="D10" s="65">
        <f>SUM(D4:D9)</f>
        <v>128400</v>
      </c>
      <c r="E10" s="66">
        <f>SUM(E4:E9)</f>
        <v>37131250</v>
      </c>
    </row>
    <row r="11" hidden="1"/>
    <row r="12" hidden="1" spans="2:4">
      <c r="B12" s="44" t="s">
        <v>76</v>
      </c>
      <c r="C12" s="44" t="s">
        <v>77</v>
      </c>
      <c r="D12" s="44" t="s">
        <v>78</v>
      </c>
    </row>
    <row r="14" spans="1:4">
      <c r="A14" s="44" t="s">
        <v>76</v>
      </c>
      <c r="B14" s="44" t="s">
        <v>77</v>
      </c>
      <c r="C14" s="5"/>
      <c r="D14" t="s">
        <v>140</v>
      </c>
    </row>
  </sheetData>
  <mergeCells count="4">
    <mergeCell ref="A1:E1"/>
    <mergeCell ref="B2:D2"/>
    <mergeCell ref="A2:A3"/>
    <mergeCell ref="E2:E3"/>
  </mergeCells>
  <pageMargins left="0.75" right="0.75" top="1" bottom="1" header="0.5" footer="0.5"/>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1"/>
  <sheetViews>
    <sheetView workbookViewId="0">
      <selection activeCell="J11" sqref="J11"/>
    </sheetView>
  </sheetViews>
  <sheetFormatPr defaultColWidth="9" defaultRowHeight="13.5"/>
  <cols>
    <col min="1" max="1" width="29.75" style="4" customWidth="1"/>
    <col min="2" max="2" width="21.875" style="1" customWidth="1"/>
    <col min="3" max="3" width="17.125" style="5" customWidth="1"/>
    <col min="4" max="4" width="13.25" style="1" customWidth="1"/>
    <col min="5" max="5" width="9" style="1" customWidth="1"/>
    <col min="6" max="7" width="11.625" style="1" customWidth="1"/>
    <col min="8" max="8" width="8.5" style="1" customWidth="1"/>
    <col min="9" max="9" width="15.75" style="1" hidden="1" customWidth="1"/>
    <col min="10" max="16" width="9" style="1"/>
    <col min="17" max="17" width="13.875" style="1" customWidth="1"/>
    <col min="18" max="246" width="9" style="1"/>
    <col min="247" max="247" width="22.625" style="1" customWidth="1"/>
    <col min="248" max="248" width="12.25" style="1" customWidth="1"/>
    <col min="249" max="252" width="9" style="1"/>
    <col min="253" max="253" width="10.375" style="1" customWidth="1"/>
    <col min="254" max="254" width="20.25" style="1" customWidth="1"/>
    <col min="255" max="255" width="34.125" style="1" customWidth="1"/>
    <col min="256" max="502" width="9" style="1"/>
    <col min="503" max="503" width="22.625" style="1" customWidth="1"/>
    <col min="504" max="504" width="12.25" style="1" customWidth="1"/>
    <col min="505" max="508" width="9" style="1"/>
    <col min="509" max="509" width="10.375" style="1" customWidth="1"/>
    <col min="510" max="510" width="20.25" style="1" customWidth="1"/>
    <col min="511" max="511" width="34.125" style="1" customWidth="1"/>
    <col min="512" max="758" width="9" style="1"/>
    <col min="759" max="759" width="22.625" style="1" customWidth="1"/>
    <col min="760" max="760" width="12.25" style="1" customWidth="1"/>
    <col min="761" max="764" width="9" style="1"/>
    <col min="765" max="765" width="10.375" style="1" customWidth="1"/>
    <col min="766" max="766" width="20.25" style="1" customWidth="1"/>
    <col min="767" max="767" width="34.125" style="1" customWidth="1"/>
    <col min="768" max="1014" width="9" style="1"/>
    <col min="1015" max="1015" width="22.625" style="1" customWidth="1"/>
    <col min="1016" max="1016" width="12.25" style="1" customWidth="1"/>
    <col min="1017" max="1020" width="9" style="1"/>
    <col min="1021" max="1021" width="10.375" style="1" customWidth="1"/>
    <col min="1022" max="1022" width="20.25" style="1" customWidth="1"/>
    <col min="1023" max="1023" width="34.125" style="1" customWidth="1"/>
    <col min="1024" max="1270" width="9" style="1"/>
    <col min="1271" max="1271" width="22.625" style="1" customWidth="1"/>
    <col min="1272" max="1272" width="12.25" style="1" customWidth="1"/>
    <col min="1273" max="1276" width="9" style="1"/>
    <col min="1277" max="1277" width="10.375" style="1" customWidth="1"/>
    <col min="1278" max="1278" width="20.25" style="1" customWidth="1"/>
    <col min="1279" max="1279" width="34.125" style="1" customWidth="1"/>
    <col min="1280" max="1526" width="9" style="1"/>
    <col min="1527" max="1527" width="22.625" style="1" customWidth="1"/>
    <col min="1528" max="1528" width="12.25" style="1" customWidth="1"/>
    <col min="1529" max="1532" width="9" style="1"/>
    <col min="1533" max="1533" width="10.375" style="1" customWidth="1"/>
    <col min="1534" max="1534" width="20.25" style="1" customWidth="1"/>
    <col min="1535" max="1535" width="34.125" style="1" customWidth="1"/>
    <col min="1536" max="1782" width="9" style="1"/>
    <col min="1783" max="1783" width="22.625" style="1" customWidth="1"/>
    <col min="1784" max="1784" width="12.25" style="1" customWidth="1"/>
    <col min="1785" max="1788" width="9" style="1"/>
    <col min="1789" max="1789" width="10.375" style="1" customWidth="1"/>
    <col min="1790" max="1790" width="20.25" style="1" customWidth="1"/>
    <col min="1791" max="1791" width="34.125" style="1" customWidth="1"/>
    <col min="1792" max="2038" width="9" style="1"/>
    <col min="2039" max="2039" width="22.625" style="1" customWidth="1"/>
    <col min="2040" max="2040" width="12.25" style="1" customWidth="1"/>
    <col min="2041" max="2044" width="9" style="1"/>
    <col min="2045" max="2045" width="10.375" style="1" customWidth="1"/>
    <col min="2046" max="2046" width="20.25" style="1" customWidth="1"/>
    <col min="2047" max="2047" width="34.125" style="1" customWidth="1"/>
    <col min="2048" max="2294" width="9" style="1"/>
    <col min="2295" max="2295" width="22.625" style="1" customWidth="1"/>
    <col min="2296" max="2296" width="12.25" style="1" customWidth="1"/>
    <col min="2297" max="2300" width="9" style="1"/>
    <col min="2301" max="2301" width="10.375" style="1" customWidth="1"/>
    <col min="2302" max="2302" width="20.25" style="1" customWidth="1"/>
    <col min="2303" max="2303" width="34.125" style="1" customWidth="1"/>
    <col min="2304" max="2550" width="9" style="1"/>
    <col min="2551" max="2551" width="22.625" style="1" customWidth="1"/>
    <col min="2552" max="2552" width="12.25" style="1" customWidth="1"/>
    <col min="2553" max="2556" width="9" style="1"/>
    <col min="2557" max="2557" width="10.375" style="1" customWidth="1"/>
    <col min="2558" max="2558" width="20.25" style="1" customWidth="1"/>
    <col min="2559" max="2559" width="34.125" style="1" customWidth="1"/>
    <col min="2560" max="2806" width="9" style="1"/>
    <col min="2807" max="2807" width="22.625" style="1" customWidth="1"/>
    <col min="2808" max="2808" width="12.25" style="1" customWidth="1"/>
    <col min="2809" max="2812" width="9" style="1"/>
    <col min="2813" max="2813" width="10.375" style="1" customWidth="1"/>
    <col min="2814" max="2814" width="20.25" style="1" customWidth="1"/>
    <col min="2815" max="2815" width="34.125" style="1" customWidth="1"/>
    <col min="2816" max="3062" width="9" style="1"/>
    <col min="3063" max="3063" width="22.625" style="1" customWidth="1"/>
    <col min="3064" max="3064" width="12.25" style="1" customWidth="1"/>
    <col min="3065" max="3068" width="9" style="1"/>
    <col min="3069" max="3069" width="10.375" style="1" customWidth="1"/>
    <col min="3070" max="3070" width="20.25" style="1" customWidth="1"/>
    <col min="3071" max="3071" width="34.125" style="1" customWidth="1"/>
    <col min="3072" max="3318" width="9" style="1"/>
    <col min="3319" max="3319" width="22.625" style="1" customWidth="1"/>
    <col min="3320" max="3320" width="12.25" style="1" customWidth="1"/>
    <col min="3321" max="3324" width="9" style="1"/>
    <col min="3325" max="3325" width="10.375" style="1" customWidth="1"/>
    <col min="3326" max="3326" width="20.25" style="1" customWidth="1"/>
    <col min="3327" max="3327" width="34.125" style="1" customWidth="1"/>
    <col min="3328" max="3574" width="9" style="1"/>
    <col min="3575" max="3575" width="22.625" style="1" customWidth="1"/>
    <col min="3576" max="3576" width="12.25" style="1" customWidth="1"/>
    <col min="3577" max="3580" width="9" style="1"/>
    <col min="3581" max="3581" width="10.375" style="1" customWidth="1"/>
    <col min="3582" max="3582" width="20.25" style="1" customWidth="1"/>
    <col min="3583" max="3583" width="34.125" style="1" customWidth="1"/>
    <col min="3584" max="3830" width="9" style="1"/>
    <col min="3831" max="3831" width="22.625" style="1" customWidth="1"/>
    <col min="3832" max="3832" width="12.25" style="1" customWidth="1"/>
    <col min="3833" max="3836" width="9" style="1"/>
    <col min="3837" max="3837" width="10.375" style="1" customWidth="1"/>
    <col min="3838" max="3838" width="20.25" style="1" customWidth="1"/>
    <col min="3839" max="3839" width="34.125" style="1" customWidth="1"/>
    <col min="3840" max="4086" width="9" style="1"/>
    <col min="4087" max="4087" width="22.625" style="1" customWidth="1"/>
    <col min="4088" max="4088" width="12.25" style="1" customWidth="1"/>
    <col min="4089" max="4092" width="9" style="1"/>
    <col min="4093" max="4093" width="10.375" style="1" customWidth="1"/>
    <col min="4094" max="4094" width="20.25" style="1" customWidth="1"/>
    <col min="4095" max="4095" width="34.125" style="1" customWidth="1"/>
    <col min="4096" max="4342" width="9" style="1"/>
    <col min="4343" max="4343" width="22.625" style="1" customWidth="1"/>
    <col min="4344" max="4344" width="12.25" style="1" customWidth="1"/>
    <col min="4345" max="4348" width="9" style="1"/>
    <col min="4349" max="4349" width="10.375" style="1" customWidth="1"/>
    <col min="4350" max="4350" width="20.25" style="1" customWidth="1"/>
    <col min="4351" max="4351" width="34.125" style="1" customWidth="1"/>
    <col min="4352" max="4598" width="9" style="1"/>
    <col min="4599" max="4599" width="22.625" style="1" customWidth="1"/>
    <col min="4600" max="4600" width="12.25" style="1" customWidth="1"/>
    <col min="4601" max="4604" width="9" style="1"/>
    <col min="4605" max="4605" width="10.375" style="1" customWidth="1"/>
    <col min="4606" max="4606" width="20.25" style="1" customWidth="1"/>
    <col min="4607" max="4607" width="34.125" style="1" customWidth="1"/>
    <col min="4608" max="4854" width="9" style="1"/>
    <col min="4855" max="4855" width="22.625" style="1" customWidth="1"/>
    <col min="4856" max="4856" width="12.25" style="1" customWidth="1"/>
    <col min="4857" max="4860" width="9" style="1"/>
    <col min="4861" max="4861" width="10.375" style="1" customWidth="1"/>
    <col min="4862" max="4862" width="20.25" style="1" customWidth="1"/>
    <col min="4863" max="4863" width="34.125" style="1" customWidth="1"/>
    <col min="4864" max="5110" width="9" style="1"/>
    <col min="5111" max="5111" width="22.625" style="1" customWidth="1"/>
    <col min="5112" max="5112" width="12.25" style="1" customWidth="1"/>
    <col min="5113" max="5116" width="9" style="1"/>
    <col min="5117" max="5117" width="10.375" style="1" customWidth="1"/>
    <col min="5118" max="5118" width="20.25" style="1" customWidth="1"/>
    <col min="5119" max="5119" width="34.125" style="1" customWidth="1"/>
    <col min="5120" max="5366" width="9" style="1"/>
    <col min="5367" max="5367" width="22.625" style="1" customWidth="1"/>
    <col min="5368" max="5368" width="12.25" style="1" customWidth="1"/>
    <col min="5369" max="5372" width="9" style="1"/>
    <col min="5373" max="5373" width="10.375" style="1" customWidth="1"/>
    <col min="5374" max="5374" width="20.25" style="1" customWidth="1"/>
    <col min="5375" max="5375" width="34.125" style="1" customWidth="1"/>
    <col min="5376" max="5622" width="9" style="1"/>
    <col min="5623" max="5623" width="22.625" style="1" customWidth="1"/>
    <col min="5624" max="5624" width="12.25" style="1" customWidth="1"/>
    <col min="5625" max="5628" width="9" style="1"/>
    <col min="5629" max="5629" width="10.375" style="1" customWidth="1"/>
    <col min="5630" max="5630" width="20.25" style="1" customWidth="1"/>
    <col min="5631" max="5631" width="34.125" style="1" customWidth="1"/>
    <col min="5632" max="5878" width="9" style="1"/>
    <col min="5879" max="5879" width="22.625" style="1" customWidth="1"/>
    <col min="5880" max="5880" width="12.25" style="1" customWidth="1"/>
    <col min="5881" max="5884" width="9" style="1"/>
    <col min="5885" max="5885" width="10.375" style="1" customWidth="1"/>
    <col min="5886" max="5886" width="20.25" style="1" customWidth="1"/>
    <col min="5887" max="5887" width="34.125" style="1" customWidth="1"/>
    <col min="5888" max="6134" width="9" style="1"/>
    <col min="6135" max="6135" width="22.625" style="1" customWidth="1"/>
    <col min="6136" max="6136" width="12.25" style="1" customWidth="1"/>
    <col min="6137" max="6140" width="9" style="1"/>
    <col min="6141" max="6141" width="10.375" style="1" customWidth="1"/>
    <col min="6142" max="6142" width="20.25" style="1" customWidth="1"/>
    <col min="6143" max="6143" width="34.125" style="1" customWidth="1"/>
    <col min="6144" max="6390" width="9" style="1"/>
    <col min="6391" max="6391" width="22.625" style="1" customWidth="1"/>
    <col min="6392" max="6392" width="12.25" style="1" customWidth="1"/>
    <col min="6393" max="6396" width="9" style="1"/>
    <col min="6397" max="6397" width="10.375" style="1" customWidth="1"/>
    <col min="6398" max="6398" width="20.25" style="1" customWidth="1"/>
    <col min="6399" max="6399" width="34.125" style="1" customWidth="1"/>
    <col min="6400" max="6646" width="9" style="1"/>
    <col min="6647" max="6647" width="22.625" style="1" customWidth="1"/>
    <col min="6648" max="6648" width="12.25" style="1" customWidth="1"/>
    <col min="6649" max="6652" width="9" style="1"/>
    <col min="6653" max="6653" width="10.375" style="1" customWidth="1"/>
    <col min="6654" max="6654" width="20.25" style="1" customWidth="1"/>
    <col min="6655" max="6655" width="34.125" style="1" customWidth="1"/>
    <col min="6656" max="6902" width="9" style="1"/>
    <col min="6903" max="6903" width="22.625" style="1" customWidth="1"/>
    <col min="6904" max="6904" width="12.25" style="1" customWidth="1"/>
    <col min="6905" max="6908" width="9" style="1"/>
    <col min="6909" max="6909" width="10.375" style="1" customWidth="1"/>
    <col min="6910" max="6910" width="20.25" style="1" customWidth="1"/>
    <col min="6911" max="6911" width="34.125" style="1" customWidth="1"/>
    <col min="6912" max="7158" width="9" style="1"/>
    <col min="7159" max="7159" width="22.625" style="1" customWidth="1"/>
    <col min="7160" max="7160" width="12.25" style="1" customWidth="1"/>
    <col min="7161" max="7164" width="9" style="1"/>
    <col min="7165" max="7165" width="10.375" style="1" customWidth="1"/>
    <col min="7166" max="7166" width="20.25" style="1" customWidth="1"/>
    <col min="7167" max="7167" width="34.125" style="1" customWidth="1"/>
    <col min="7168" max="7414" width="9" style="1"/>
    <col min="7415" max="7415" width="22.625" style="1" customWidth="1"/>
    <col min="7416" max="7416" width="12.25" style="1" customWidth="1"/>
    <col min="7417" max="7420" width="9" style="1"/>
    <col min="7421" max="7421" width="10.375" style="1" customWidth="1"/>
    <col min="7422" max="7422" width="20.25" style="1" customWidth="1"/>
    <col min="7423" max="7423" width="34.125" style="1" customWidth="1"/>
    <col min="7424" max="7670" width="9" style="1"/>
    <col min="7671" max="7671" width="22.625" style="1" customWidth="1"/>
    <col min="7672" max="7672" width="12.25" style="1" customWidth="1"/>
    <col min="7673" max="7676" width="9" style="1"/>
    <col min="7677" max="7677" width="10.375" style="1" customWidth="1"/>
    <col min="7678" max="7678" width="20.25" style="1" customWidth="1"/>
    <col min="7679" max="7679" width="34.125" style="1" customWidth="1"/>
    <col min="7680" max="7926" width="9" style="1"/>
    <col min="7927" max="7927" width="22.625" style="1" customWidth="1"/>
    <col min="7928" max="7928" width="12.25" style="1" customWidth="1"/>
    <col min="7929" max="7932" width="9" style="1"/>
    <col min="7933" max="7933" width="10.375" style="1" customWidth="1"/>
    <col min="7934" max="7934" width="20.25" style="1" customWidth="1"/>
    <col min="7935" max="7935" width="34.125" style="1" customWidth="1"/>
    <col min="7936" max="8182" width="9" style="1"/>
    <col min="8183" max="8183" width="22.625" style="1" customWidth="1"/>
    <col min="8184" max="8184" width="12.25" style="1" customWidth="1"/>
    <col min="8185" max="8188" width="9" style="1"/>
    <col min="8189" max="8189" width="10.375" style="1" customWidth="1"/>
    <col min="8190" max="8190" width="20.25" style="1" customWidth="1"/>
    <col min="8191" max="8191" width="34.125" style="1" customWidth="1"/>
    <col min="8192" max="8438" width="9" style="1"/>
    <col min="8439" max="8439" width="22.625" style="1" customWidth="1"/>
    <col min="8440" max="8440" width="12.25" style="1" customWidth="1"/>
    <col min="8441" max="8444" width="9" style="1"/>
    <col min="8445" max="8445" width="10.375" style="1" customWidth="1"/>
    <col min="8446" max="8446" width="20.25" style="1" customWidth="1"/>
    <col min="8447" max="8447" width="34.125" style="1" customWidth="1"/>
    <col min="8448" max="8694" width="9" style="1"/>
    <col min="8695" max="8695" width="22.625" style="1" customWidth="1"/>
    <col min="8696" max="8696" width="12.25" style="1" customWidth="1"/>
    <col min="8697" max="8700" width="9" style="1"/>
    <col min="8701" max="8701" width="10.375" style="1" customWidth="1"/>
    <col min="8702" max="8702" width="20.25" style="1" customWidth="1"/>
    <col min="8703" max="8703" width="34.125" style="1" customWidth="1"/>
    <col min="8704" max="8950" width="9" style="1"/>
    <col min="8951" max="8951" width="22.625" style="1" customWidth="1"/>
    <col min="8952" max="8952" width="12.25" style="1" customWidth="1"/>
    <col min="8953" max="8956" width="9" style="1"/>
    <col min="8957" max="8957" width="10.375" style="1" customWidth="1"/>
    <col min="8958" max="8958" width="20.25" style="1" customWidth="1"/>
    <col min="8959" max="8959" width="34.125" style="1" customWidth="1"/>
    <col min="8960" max="9206" width="9" style="1"/>
    <col min="9207" max="9207" width="22.625" style="1" customWidth="1"/>
    <col min="9208" max="9208" width="12.25" style="1" customWidth="1"/>
    <col min="9209" max="9212" width="9" style="1"/>
    <col min="9213" max="9213" width="10.375" style="1" customWidth="1"/>
    <col min="9214" max="9214" width="20.25" style="1" customWidth="1"/>
    <col min="9215" max="9215" width="34.125" style="1" customWidth="1"/>
    <col min="9216" max="9462" width="9" style="1"/>
    <col min="9463" max="9463" width="22.625" style="1" customWidth="1"/>
    <col min="9464" max="9464" width="12.25" style="1" customWidth="1"/>
    <col min="9465" max="9468" width="9" style="1"/>
    <col min="9469" max="9469" width="10.375" style="1" customWidth="1"/>
    <col min="9470" max="9470" width="20.25" style="1" customWidth="1"/>
    <col min="9471" max="9471" width="34.125" style="1" customWidth="1"/>
    <col min="9472" max="9718" width="9" style="1"/>
    <col min="9719" max="9719" width="22.625" style="1" customWidth="1"/>
    <col min="9720" max="9720" width="12.25" style="1" customWidth="1"/>
    <col min="9721" max="9724" width="9" style="1"/>
    <col min="9725" max="9725" width="10.375" style="1" customWidth="1"/>
    <col min="9726" max="9726" width="20.25" style="1" customWidth="1"/>
    <col min="9727" max="9727" width="34.125" style="1" customWidth="1"/>
    <col min="9728" max="9974" width="9" style="1"/>
    <col min="9975" max="9975" width="22.625" style="1" customWidth="1"/>
    <col min="9976" max="9976" width="12.25" style="1" customWidth="1"/>
    <col min="9977" max="9980" width="9" style="1"/>
    <col min="9981" max="9981" width="10.375" style="1" customWidth="1"/>
    <col min="9982" max="9982" width="20.25" style="1" customWidth="1"/>
    <col min="9983" max="9983" width="34.125" style="1" customWidth="1"/>
    <col min="9984" max="10230" width="9" style="1"/>
    <col min="10231" max="10231" width="22.625" style="1" customWidth="1"/>
    <col min="10232" max="10232" width="12.25" style="1" customWidth="1"/>
    <col min="10233" max="10236" width="9" style="1"/>
    <col min="10237" max="10237" width="10.375" style="1" customWidth="1"/>
    <col min="10238" max="10238" width="20.25" style="1" customWidth="1"/>
    <col min="10239" max="10239" width="34.125" style="1" customWidth="1"/>
    <col min="10240" max="10486" width="9" style="1"/>
    <col min="10487" max="10487" width="22.625" style="1" customWidth="1"/>
    <col min="10488" max="10488" width="12.25" style="1" customWidth="1"/>
    <col min="10489" max="10492" width="9" style="1"/>
    <col min="10493" max="10493" width="10.375" style="1" customWidth="1"/>
    <col min="10494" max="10494" width="20.25" style="1" customWidth="1"/>
    <col min="10495" max="10495" width="34.125" style="1" customWidth="1"/>
    <col min="10496" max="10742" width="9" style="1"/>
    <col min="10743" max="10743" width="22.625" style="1" customWidth="1"/>
    <col min="10744" max="10744" width="12.25" style="1" customWidth="1"/>
    <col min="10745" max="10748" width="9" style="1"/>
    <col min="10749" max="10749" width="10.375" style="1" customWidth="1"/>
    <col min="10750" max="10750" width="20.25" style="1" customWidth="1"/>
    <col min="10751" max="10751" width="34.125" style="1" customWidth="1"/>
    <col min="10752" max="10998" width="9" style="1"/>
    <col min="10999" max="10999" width="22.625" style="1" customWidth="1"/>
    <col min="11000" max="11000" width="12.25" style="1" customWidth="1"/>
    <col min="11001" max="11004" width="9" style="1"/>
    <col min="11005" max="11005" width="10.375" style="1" customWidth="1"/>
    <col min="11006" max="11006" width="20.25" style="1" customWidth="1"/>
    <col min="11007" max="11007" width="34.125" style="1" customWidth="1"/>
    <col min="11008" max="11254" width="9" style="1"/>
    <col min="11255" max="11255" width="22.625" style="1" customWidth="1"/>
    <col min="11256" max="11256" width="12.25" style="1" customWidth="1"/>
    <col min="11257" max="11260" width="9" style="1"/>
    <col min="11261" max="11261" width="10.375" style="1" customWidth="1"/>
    <col min="11262" max="11262" width="20.25" style="1" customWidth="1"/>
    <col min="11263" max="11263" width="34.125" style="1" customWidth="1"/>
    <col min="11264" max="11510" width="9" style="1"/>
    <col min="11511" max="11511" width="22.625" style="1" customWidth="1"/>
    <col min="11512" max="11512" width="12.25" style="1" customWidth="1"/>
    <col min="11513" max="11516" width="9" style="1"/>
    <col min="11517" max="11517" width="10.375" style="1" customWidth="1"/>
    <col min="11518" max="11518" width="20.25" style="1" customWidth="1"/>
    <col min="11519" max="11519" width="34.125" style="1" customWidth="1"/>
    <col min="11520" max="11766" width="9" style="1"/>
    <col min="11767" max="11767" width="22.625" style="1" customWidth="1"/>
    <col min="11768" max="11768" width="12.25" style="1" customWidth="1"/>
    <col min="11769" max="11772" width="9" style="1"/>
    <col min="11773" max="11773" width="10.375" style="1" customWidth="1"/>
    <col min="11774" max="11774" width="20.25" style="1" customWidth="1"/>
    <col min="11775" max="11775" width="34.125" style="1" customWidth="1"/>
    <col min="11776" max="12022" width="9" style="1"/>
    <col min="12023" max="12023" width="22.625" style="1" customWidth="1"/>
    <col min="12024" max="12024" width="12.25" style="1" customWidth="1"/>
    <col min="12025" max="12028" width="9" style="1"/>
    <col min="12029" max="12029" width="10.375" style="1" customWidth="1"/>
    <col min="12030" max="12030" width="20.25" style="1" customWidth="1"/>
    <col min="12031" max="12031" width="34.125" style="1" customWidth="1"/>
    <col min="12032" max="12278" width="9" style="1"/>
    <col min="12279" max="12279" width="22.625" style="1" customWidth="1"/>
    <col min="12280" max="12280" width="12.25" style="1" customWidth="1"/>
    <col min="12281" max="12284" width="9" style="1"/>
    <col min="12285" max="12285" width="10.375" style="1" customWidth="1"/>
    <col min="12286" max="12286" width="20.25" style="1" customWidth="1"/>
    <col min="12287" max="12287" width="34.125" style="1" customWidth="1"/>
    <col min="12288" max="12534" width="9" style="1"/>
    <col min="12535" max="12535" width="22.625" style="1" customWidth="1"/>
    <col min="12536" max="12536" width="12.25" style="1" customWidth="1"/>
    <col min="12537" max="12540" width="9" style="1"/>
    <col min="12541" max="12541" width="10.375" style="1" customWidth="1"/>
    <col min="12542" max="12542" width="20.25" style="1" customWidth="1"/>
    <col min="12543" max="12543" width="34.125" style="1" customWidth="1"/>
    <col min="12544" max="12790" width="9" style="1"/>
    <col min="12791" max="12791" width="22.625" style="1" customWidth="1"/>
    <col min="12792" max="12792" width="12.25" style="1" customWidth="1"/>
    <col min="12793" max="12796" width="9" style="1"/>
    <col min="12797" max="12797" width="10.375" style="1" customWidth="1"/>
    <col min="12798" max="12798" width="20.25" style="1" customWidth="1"/>
    <col min="12799" max="12799" width="34.125" style="1" customWidth="1"/>
    <col min="12800" max="13046" width="9" style="1"/>
    <col min="13047" max="13047" width="22.625" style="1" customWidth="1"/>
    <col min="13048" max="13048" width="12.25" style="1" customWidth="1"/>
    <col min="13049" max="13052" width="9" style="1"/>
    <col min="13053" max="13053" width="10.375" style="1" customWidth="1"/>
    <col min="13054" max="13054" width="20.25" style="1" customWidth="1"/>
    <col min="13055" max="13055" width="34.125" style="1" customWidth="1"/>
    <col min="13056" max="13302" width="9" style="1"/>
    <col min="13303" max="13303" width="22.625" style="1" customWidth="1"/>
    <col min="13304" max="13304" width="12.25" style="1" customWidth="1"/>
    <col min="13305" max="13308" width="9" style="1"/>
    <col min="13309" max="13309" width="10.375" style="1" customWidth="1"/>
    <col min="13310" max="13310" width="20.25" style="1" customWidth="1"/>
    <col min="13311" max="13311" width="34.125" style="1" customWidth="1"/>
    <col min="13312" max="13558" width="9" style="1"/>
    <col min="13559" max="13559" width="22.625" style="1" customWidth="1"/>
    <col min="13560" max="13560" width="12.25" style="1" customWidth="1"/>
    <col min="13561" max="13564" width="9" style="1"/>
    <col min="13565" max="13565" width="10.375" style="1" customWidth="1"/>
    <col min="13566" max="13566" width="20.25" style="1" customWidth="1"/>
    <col min="13567" max="13567" width="34.125" style="1" customWidth="1"/>
    <col min="13568" max="13814" width="9" style="1"/>
    <col min="13815" max="13815" width="22.625" style="1" customWidth="1"/>
    <col min="13816" max="13816" width="12.25" style="1" customWidth="1"/>
    <col min="13817" max="13820" width="9" style="1"/>
    <col min="13821" max="13821" width="10.375" style="1" customWidth="1"/>
    <col min="13822" max="13822" width="20.25" style="1" customWidth="1"/>
    <col min="13823" max="13823" width="34.125" style="1" customWidth="1"/>
    <col min="13824" max="14070" width="9" style="1"/>
    <col min="14071" max="14071" width="22.625" style="1" customWidth="1"/>
    <col min="14072" max="14072" width="12.25" style="1" customWidth="1"/>
    <col min="14073" max="14076" width="9" style="1"/>
    <col min="14077" max="14077" width="10.375" style="1" customWidth="1"/>
    <col min="14078" max="14078" width="20.25" style="1" customWidth="1"/>
    <col min="14079" max="14079" width="34.125" style="1" customWidth="1"/>
    <col min="14080" max="14326" width="9" style="1"/>
    <col min="14327" max="14327" width="22.625" style="1" customWidth="1"/>
    <col min="14328" max="14328" width="12.25" style="1" customWidth="1"/>
    <col min="14329" max="14332" width="9" style="1"/>
    <col min="14333" max="14333" width="10.375" style="1" customWidth="1"/>
    <col min="14334" max="14334" width="20.25" style="1" customWidth="1"/>
    <col min="14335" max="14335" width="34.125" style="1" customWidth="1"/>
    <col min="14336" max="14582" width="9" style="1"/>
    <col min="14583" max="14583" width="22.625" style="1" customWidth="1"/>
    <col min="14584" max="14584" width="12.25" style="1" customWidth="1"/>
    <col min="14585" max="14588" width="9" style="1"/>
    <col min="14589" max="14589" width="10.375" style="1" customWidth="1"/>
    <col min="14590" max="14590" width="20.25" style="1" customWidth="1"/>
    <col min="14591" max="14591" width="34.125" style="1" customWidth="1"/>
    <col min="14592" max="14838" width="9" style="1"/>
    <col min="14839" max="14839" width="22.625" style="1" customWidth="1"/>
    <col min="14840" max="14840" width="12.25" style="1" customWidth="1"/>
    <col min="14841" max="14844" width="9" style="1"/>
    <col min="14845" max="14845" width="10.375" style="1" customWidth="1"/>
    <col min="14846" max="14846" width="20.25" style="1" customWidth="1"/>
    <col min="14847" max="14847" width="34.125" style="1" customWidth="1"/>
    <col min="14848" max="15094" width="9" style="1"/>
    <col min="15095" max="15095" width="22.625" style="1" customWidth="1"/>
    <col min="15096" max="15096" width="12.25" style="1" customWidth="1"/>
    <col min="15097" max="15100" width="9" style="1"/>
    <col min="15101" max="15101" width="10.375" style="1" customWidth="1"/>
    <col min="15102" max="15102" width="20.25" style="1" customWidth="1"/>
    <col min="15103" max="15103" width="34.125" style="1" customWidth="1"/>
    <col min="15104" max="15350" width="9" style="1"/>
    <col min="15351" max="15351" width="22.625" style="1" customWidth="1"/>
    <col min="15352" max="15352" width="12.25" style="1" customWidth="1"/>
    <col min="15353" max="15356" width="9" style="1"/>
    <col min="15357" max="15357" width="10.375" style="1" customWidth="1"/>
    <col min="15358" max="15358" width="20.25" style="1" customWidth="1"/>
    <col min="15359" max="15359" width="34.125" style="1" customWidth="1"/>
    <col min="15360" max="15606" width="9" style="1"/>
    <col min="15607" max="15607" width="22.625" style="1" customWidth="1"/>
    <col min="15608" max="15608" width="12.25" style="1" customWidth="1"/>
    <col min="15609" max="15612" width="9" style="1"/>
    <col min="15613" max="15613" width="10.375" style="1" customWidth="1"/>
    <col min="15614" max="15614" width="20.25" style="1" customWidth="1"/>
    <col min="15615" max="15615" width="34.125" style="1" customWidth="1"/>
    <col min="15616" max="15862" width="9" style="1"/>
    <col min="15863" max="15863" width="22.625" style="1" customWidth="1"/>
    <col min="15864" max="15864" width="12.25" style="1" customWidth="1"/>
    <col min="15865" max="15868" width="9" style="1"/>
    <col min="15869" max="15869" width="10.375" style="1" customWidth="1"/>
    <col min="15870" max="15870" width="20.25" style="1" customWidth="1"/>
    <col min="15871" max="15871" width="34.125" style="1" customWidth="1"/>
    <col min="15872" max="16118" width="9" style="1"/>
    <col min="16119" max="16119" width="22.625" style="1" customWidth="1"/>
    <col min="16120" max="16120" width="12.25" style="1" customWidth="1"/>
    <col min="16121" max="16124" width="9" style="1"/>
    <col min="16125" max="16125" width="10.375" style="1" customWidth="1"/>
    <col min="16126" max="16126" width="20.25" style="1" customWidth="1"/>
    <col min="16127" max="16127" width="34.125" style="1" customWidth="1"/>
    <col min="16128" max="16384" width="9" style="1"/>
  </cols>
  <sheetData>
    <row r="1" ht="27" customHeight="1" spans="1:5">
      <c r="A1" s="6" t="s">
        <v>1015</v>
      </c>
      <c r="B1" s="6"/>
      <c r="C1" s="7"/>
      <c r="D1" s="6"/>
      <c r="E1" s="6"/>
    </row>
    <row r="2" ht="33.95" customHeight="1" spans="1:5">
      <c r="A2" s="8"/>
      <c r="B2" s="8"/>
      <c r="C2" s="9"/>
      <c r="D2" s="8" t="s">
        <v>156</v>
      </c>
      <c r="E2" s="8"/>
    </row>
    <row r="3" customHeight="1" spans="1:5">
      <c r="A3" s="10" t="s">
        <v>345</v>
      </c>
      <c r="B3" s="11" t="s">
        <v>1016</v>
      </c>
      <c r="C3" s="12" t="s">
        <v>1001</v>
      </c>
      <c r="D3" s="13" t="s">
        <v>1017</v>
      </c>
      <c r="E3" s="14" t="s">
        <v>433</v>
      </c>
    </row>
    <row r="4" spans="1:5">
      <c r="A4" s="10"/>
      <c r="B4" s="11"/>
      <c r="C4" s="15"/>
      <c r="D4" s="16"/>
      <c r="E4" s="17"/>
    </row>
    <row r="5" spans="1:9">
      <c r="A5" s="10"/>
      <c r="B5" s="11"/>
      <c r="C5" s="18"/>
      <c r="D5" s="19"/>
      <c r="E5" s="20"/>
      <c r="I5" s="1" t="s">
        <v>1018</v>
      </c>
    </row>
    <row r="6" s="1" customFormat="1" ht="24.95" customHeight="1" spans="1:5">
      <c r="A6" s="21" t="s">
        <v>1019</v>
      </c>
      <c r="B6" s="22">
        <v>180</v>
      </c>
      <c r="C6" s="23">
        <v>2.34</v>
      </c>
      <c r="D6" s="24" t="s">
        <v>1020</v>
      </c>
      <c r="E6" s="25"/>
    </row>
    <row r="7" s="1" customFormat="1" ht="24.95" customHeight="1" spans="1:5">
      <c r="A7" s="21" t="s">
        <v>1021</v>
      </c>
      <c r="B7" s="22">
        <v>200</v>
      </c>
      <c r="C7" s="26">
        <v>4.8</v>
      </c>
      <c r="D7" s="24" t="s">
        <v>1020</v>
      </c>
      <c r="E7" s="27"/>
    </row>
    <row r="8" s="1" customFormat="1" ht="24.95" customHeight="1" spans="1:5">
      <c r="A8" s="28" t="s">
        <v>1022</v>
      </c>
      <c r="B8" s="29">
        <v>1000</v>
      </c>
      <c r="C8" s="30">
        <v>4.9</v>
      </c>
      <c r="D8" s="24" t="s">
        <v>1020</v>
      </c>
      <c r="E8" s="31"/>
    </row>
    <row r="9" s="2" customFormat="1" ht="24.95" customHeight="1" spans="1:5">
      <c r="A9" s="28" t="s">
        <v>1023</v>
      </c>
      <c r="B9" s="32">
        <v>1000</v>
      </c>
      <c r="C9" s="30">
        <v>7.9</v>
      </c>
      <c r="D9" s="24" t="s">
        <v>1020</v>
      </c>
      <c r="E9" s="31"/>
    </row>
    <row r="10" s="2" customFormat="1" ht="24.95" customHeight="1" spans="1:5">
      <c r="A10" s="28" t="s">
        <v>1024</v>
      </c>
      <c r="B10" s="22">
        <v>1200</v>
      </c>
      <c r="C10" s="30">
        <v>18</v>
      </c>
      <c r="D10" s="24" t="s">
        <v>1020</v>
      </c>
      <c r="E10" s="31"/>
    </row>
    <row r="11" s="3" customFormat="1" ht="24.95" customHeight="1" spans="1:5">
      <c r="A11" s="21" t="s">
        <v>1025</v>
      </c>
      <c r="B11" s="33">
        <v>3100</v>
      </c>
      <c r="C11" s="23">
        <v>21</v>
      </c>
      <c r="D11" s="24" t="s">
        <v>1026</v>
      </c>
      <c r="E11" s="24"/>
    </row>
    <row r="12" s="1" customFormat="1" ht="24.95" customHeight="1" spans="1:5">
      <c r="A12" s="34" t="s">
        <v>1027</v>
      </c>
      <c r="B12" s="22">
        <v>30000</v>
      </c>
      <c r="C12" s="35">
        <v>75</v>
      </c>
      <c r="D12" s="24" t="s">
        <v>1028</v>
      </c>
      <c r="E12" s="25"/>
    </row>
    <row r="13" s="1" customFormat="1" ht="24.95" customHeight="1" spans="1:5">
      <c r="A13" s="21" t="s">
        <v>1029</v>
      </c>
      <c r="B13" s="33">
        <v>115</v>
      </c>
      <c r="C13" s="36">
        <v>2.07</v>
      </c>
      <c r="D13" s="37" t="s">
        <v>582</v>
      </c>
      <c r="E13" s="38"/>
    </row>
    <row r="14" s="1" customFormat="1" ht="24.95" customHeight="1" spans="1:5">
      <c r="A14" s="34" t="s">
        <v>1030</v>
      </c>
      <c r="B14" s="32">
        <v>1300</v>
      </c>
      <c r="C14" s="39">
        <v>6</v>
      </c>
      <c r="D14" s="37" t="s">
        <v>582</v>
      </c>
      <c r="E14" s="38"/>
    </row>
    <row r="15" ht="47" customHeight="1" spans="1:5">
      <c r="A15" s="40" t="s">
        <v>34</v>
      </c>
      <c r="B15" s="41"/>
      <c r="C15" s="42">
        <f>SUM(C6:C14)</f>
        <v>142.01</v>
      </c>
      <c r="D15" s="43"/>
      <c r="E15" s="43"/>
    </row>
    <row r="16" ht="30.95" customHeight="1" spans="1:2">
      <c r="A16" s="44" t="s">
        <v>76</v>
      </c>
      <c r="B16" s="44" t="s">
        <v>77</v>
      </c>
    </row>
    <row r="17" ht="30.95" customHeight="1" spans="1:2">
      <c r="A17" s="45"/>
      <c r="B17" s="45"/>
    </row>
    <row r="18" ht="30.95" customHeight="1" spans="1:2">
      <c r="A18" s="45"/>
      <c r="B18" s="45"/>
    </row>
    <row r="19" ht="30.95" customHeight="1" spans="1:2">
      <c r="A19" s="45"/>
      <c r="B19" s="45"/>
    </row>
    <row r="20" ht="30.95" customHeight="1" spans="1:2">
      <c r="A20" s="45"/>
      <c r="B20" s="45"/>
    </row>
    <row r="21" ht="30.95" customHeight="1" spans="1:2">
      <c r="A21" s="45"/>
      <c r="B21" s="45"/>
    </row>
    <row r="22" ht="30.95" customHeight="1" spans="1:2">
      <c r="A22" s="45"/>
      <c r="B22" s="45"/>
    </row>
    <row r="23" ht="30.95" customHeight="1" spans="1:2">
      <c r="A23" s="45"/>
      <c r="B23" s="45"/>
    </row>
    <row r="24" ht="30.95" customHeight="1" spans="1:2">
      <c r="A24" s="45"/>
      <c r="B24" s="45"/>
    </row>
    <row r="25" ht="30.95" customHeight="1" spans="1:2">
      <c r="A25" s="45"/>
      <c r="B25" s="45"/>
    </row>
    <row r="26" ht="30.95" customHeight="1" spans="1:2">
      <c r="A26" s="45"/>
      <c r="B26" s="45"/>
    </row>
    <row r="27" ht="30.95" customHeight="1" spans="1:2">
      <c r="A27" s="45"/>
      <c r="B27" s="45"/>
    </row>
    <row r="28" ht="30.95" customHeight="1" spans="1:2">
      <c r="A28" s="45"/>
      <c r="B28" s="45"/>
    </row>
    <row r="29" ht="30.95" customHeight="1" spans="1:2">
      <c r="A29" s="45"/>
      <c r="B29" s="45"/>
    </row>
    <row r="30" ht="30.95" customHeight="1" spans="1:2">
      <c r="A30" s="45"/>
      <c r="B30" s="45"/>
    </row>
    <row r="31" ht="30.95" customHeight="1" spans="1:2">
      <c r="A31" s="45"/>
      <c r="B31" s="45"/>
    </row>
    <row r="32" ht="30.95" customHeight="1" spans="1:2">
      <c r="A32" s="45"/>
      <c r="B32" s="45"/>
    </row>
    <row r="33" ht="30.95" customHeight="1" spans="1:2">
      <c r="A33" s="45"/>
      <c r="B33" s="45"/>
    </row>
    <row r="34" ht="30.95" customHeight="1" spans="1:2">
      <c r="A34" s="45"/>
      <c r="B34" s="45"/>
    </row>
    <row r="35" ht="30.95" customHeight="1" spans="1:2">
      <c r="A35" s="45"/>
      <c r="B35" s="45"/>
    </row>
    <row r="36" ht="30.95" customHeight="1" spans="1:2">
      <c r="A36" s="45"/>
      <c r="B36" s="45"/>
    </row>
    <row r="37" ht="30.95" customHeight="1" spans="1:2">
      <c r="A37" s="45"/>
      <c r="B37" s="45"/>
    </row>
    <row r="38" ht="30.95" customHeight="1" spans="1:2">
      <c r="A38" s="45"/>
      <c r="B38" s="45"/>
    </row>
    <row r="39" ht="30.95" customHeight="1" spans="1:2">
      <c r="A39" s="45"/>
      <c r="B39" s="45"/>
    </row>
    <row r="40" ht="30.95" customHeight="1" spans="1:2">
      <c r="A40" s="45"/>
      <c r="B40" s="45"/>
    </row>
    <row r="41" ht="30.95" customHeight="1" spans="1:2">
      <c r="A41" s="45"/>
      <c r="B41" s="45"/>
    </row>
    <row r="42" ht="30.95" customHeight="1" spans="1:2">
      <c r="A42" s="45"/>
      <c r="B42" s="45"/>
    </row>
    <row r="43" ht="30.95" customHeight="1" spans="1:2">
      <c r="A43" s="45"/>
      <c r="B43" s="45"/>
    </row>
    <row r="44" ht="30.95" customHeight="1" spans="1:2">
      <c r="A44" s="45"/>
      <c r="B44" s="45"/>
    </row>
    <row r="45" ht="30.95" customHeight="1" spans="1:2">
      <c r="A45" s="45"/>
      <c r="B45" s="45"/>
    </row>
    <row r="46" ht="30.95" customHeight="1" spans="1:2">
      <c r="A46" s="45"/>
      <c r="B46" s="45"/>
    </row>
    <row r="47" ht="30.95" customHeight="1" spans="1:2">
      <c r="A47" s="45"/>
      <c r="B47" s="45"/>
    </row>
    <row r="48" ht="30.95" customHeight="1" spans="1:2">
      <c r="A48" s="45"/>
      <c r="B48" s="45"/>
    </row>
    <row r="49" ht="30.95" customHeight="1" spans="1:2">
      <c r="A49" s="45"/>
      <c r="B49" s="45"/>
    </row>
    <row r="50" ht="30.95" customHeight="1" spans="1:2">
      <c r="A50" s="45"/>
      <c r="B50" s="45"/>
    </row>
    <row r="51" ht="30.95" customHeight="1" spans="1:2">
      <c r="A51" s="45"/>
      <c r="B51" s="45"/>
    </row>
    <row r="52" ht="30.95" customHeight="1" spans="1:2">
      <c r="A52" s="45"/>
      <c r="B52" s="45"/>
    </row>
    <row r="53" ht="30.95" customHeight="1" spans="1:2">
      <c r="A53" s="45"/>
      <c r="B53" s="45"/>
    </row>
    <row r="54" ht="30.95" customHeight="1" spans="1:2">
      <c r="A54" s="45"/>
      <c r="B54" s="45"/>
    </row>
    <row r="55" ht="30.95" customHeight="1" spans="1:2">
      <c r="A55" s="45"/>
      <c r="B55" s="45"/>
    </row>
    <row r="58" spans="6:17">
      <c r="F58" s="46" t="s">
        <v>1031</v>
      </c>
      <c r="G58" s="47"/>
      <c r="H58" s="48" t="s">
        <v>1032</v>
      </c>
      <c r="I58" s="48"/>
      <c r="J58" s="48" t="s">
        <v>1033</v>
      </c>
      <c r="K58" s="48"/>
      <c r="L58" s="48" t="s">
        <v>1034</v>
      </c>
      <c r="M58" s="48"/>
      <c r="N58" s="48" t="s">
        <v>1035</v>
      </c>
      <c r="O58" s="48"/>
      <c r="P58" s="48" t="s">
        <v>34</v>
      </c>
      <c r="Q58" s="48"/>
    </row>
    <row r="59" spans="6:17">
      <c r="F59" s="48" t="s">
        <v>976</v>
      </c>
      <c r="G59" s="48" t="s">
        <v>1036</v>
      </c>
      <c r="H59" s="48" t="s">
        <v>976</v>
      </c>
      <c r="I59" s="48" t="s">
        <v>1036</v>
      </c>
      <c r="J59" s="48" t="s">
        <v>976</v>
      </c>
      <c r="K59" s="48" t="s">
        <v>1036</v>
      </c>
      <c r="L59" s="48" t="s">
        <v>976</v>
      </c>
      <c r="M59" s="48" t="s">
        <v>1036</v>
      </c>
      <c r="N59" s="48" t="s">
        <v>976</v>
      </c>
      <c r="O59" s="48" t="s">
        <v>1036</v>
      </c>
      <c r="P59" s="48" t="s">
        <v>976</v>
      </c>
      <c r="Q59" s="48" t="s">
        <v>1037</v>
      </c>
    </row>
    <row r="60" spans="1:17">
      <c r="A60" s="49" t="s">
        <v>1038</v>
      </c>
      <c r="B60" s="48">
        <f>1000</f>
        <v>1000</v>
      </c>
      <c r="C60" s="50">
        <f>48.8</f>
        <v>48.8</v>
      </c>
      <c r="D60" s="48"/>
      <c r="E60" s="48"/>
      <c r="F60" s="48">
        <v>800</v>
      </c>
      <c r="G60" s="48">
        <v>39.04</v>
      </c>
      <c r="H60" s="48">
        <v>1000</v>
      </c>
      <c r="I60" s="48">
        <v>48.8</v>
      </c>
      <c r="J60" s="48">
        <v>800</v>
      </c>
      <c r="K60" s="48">
        <v>39.04</v>
      </c>
      <c r="L60" s="48">
        <v>910</v>
      </c>
      <c r="M60" s="48">
        <v>23.44</v>
      </c>
      <c r="N60" s="48"/>
      <c r="O60" s="48"/>
      <c r="P60" s="48">
        <f>F60+H60+J60+L60+N60</f>
        <v>3510</v>
      </c>
      <c r="Q60" s="48">
        <f>G60+I60+K60+M60+O60</f>
        <v>150.32</v>
      </c>
    </row>
    <row r="61" spans="1:17">
      <c r="A61" s="49" t="s">
        <v>1039</v>
      </c>
      <c r="B61" s="48">
        <f>2000</f>
        <v>2000</v>
      </c>
      <c r="C61" s="50">
        <f>18</f>
        <v>18</v>
      </c>
      <c r="D61" s="48"/>
      <c r="E61" s="48"/>
      <c r="F61" s="48">
        <v>3000</v>
      </c>
      <c r="G61" s="48">
        <v>39.04</v>
      </c>
      <c r="H61" s="48">
        <v>2000</v>
      </c>
      <c r="I61" s="48">
        <v>18</v>
      </c>
      <c r="J61" s="48">
        <v>1500</v>
      </c>
      <c r="K61" s="48">
        <v>13.5</v>
      </c>
      <c r="L61" s="48">
        <v>910</v>
      </c>
      <c r="M61" s="48">
        <v>4.05</v>
      </c>
      <c r="N61" s="48"/>
      <c r="O61" s="48"/>
      <c r="P61" s="48">
        <f>F61+H61+J61+L61+N61</f>
        <v>7410</v>
      </c>
      <c r="Q61" s="48">
        <f>G61+I61+K61+M61+O61</f>
        <v>74.59</v>
      </c>
    </row>
  </sheetData>
  <mergeCells count="14">
    <mergeCell ref="A1:E1"/>
    <mergeCell ref="A2:B2"/>
    <mergeCell ref="D2:E2"/>
    <mergeCell ref="F58:G58"/>
    <mergeCell ref="H58:I58"/>
    <mergeCell ref="J58:K58"/>
    <mergeCell ref="L58:M58"/>
    <mergeCell ref="N58:O58"/>
    <mergeCell ref="P58:Q58"/>
    <mergeCell ref="A3:A5"/>
    <mergeCell ref="B3:B5"/>
    <mergeCell ref="C3:C5"/>
    <mergeCell ref="D3:D5"/>
    <mergeCell ref="E3:E5"/>
  </mergeCells>
  <pageMargins left="0.75" right="0.354166666666667"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H5" sqref="H5"/>
    </sheetView>
  </sheetViews>
  <sheetFormatPr defaultColWidth="9" defaultRowHeight="14.25" outlineLevelCol="5"/>
  <cols>
    <col min="1" max="1" width="10.125" style="489" customWidth="1"/>
    <col min="2" max="2" width="11.625" style="452" customWidth="1"/>
    <col min="3" max="3" width="40.125" style="452" customWidth="1"/>
    <col min="4" max="4" width="16" style="730" customWidth="1"/>
    <col min="5" max="6" width="12.75" style="730" customWidth="1"/>
    <col min="7" max="16384" width="9" style="44"/>
  </cols>
  <sheetData>
    <row r="1" s="44" customFormat="1" ht="22.5" spans="1:6">
      <c r="A1" s="731" t="s">
        <v>80</v>
      </c>
      <c r="B1" s="731"/>
      <c r="C1" s="731"/>
      <c r="D1" s="732"/>
      <c r="E1" s="732"/>
      <c r="F1" s="732"/>
    </row>
    <row r="2" s="44" customFormat="1" ht="39" customHeight="1" spans="1:6">
      <c r="A2" s="733" t="s">
        <v>54</v>
      </c>
      <c r="B2" s="733"/>
      <c r="C2" s="733"/>
      <c r="D2" s="734"/>
      <c r="E2" s="734"/>
      <c r="F2" s="734"/>
    </row>
    <row r="3" s="44" customFormat="1" ht="27" customHeight="1" spans="1:6">
      <c r="A3" s="440" t="s">
        <v>81</v>
      </c>
      <c r="B3" s="735" t="s">
        <v>82</v>
      </c>
      <c r="C3" s="736"/>
      <c r="D3" s="737" t="s">
        <v>57</v>
      </c>
      <c r="E3" s="738" t="s">
        <v>83</v>
      </c>
      <c r="F3" s="738"/>
    </row>
    <row r="4" s="44" customFormat="1" ht="25" customHeight="1" spans="1:6">
      <c r="A4" s="739"/>
      <c r="B4" s="735"/>
      <c r="C4" s="736"/>
      <c r="D4" s="740"/>
      <c r="E4" s="741" t="s">
        <v>84</v>
      </c>
      <c r="F4" s="741" t="s">
        <v>85</v>
      </c>
    </row>
    <row r="5" s="44" customFormat="1" ht="20" customHeight="1" spans="1:6">
      <c r="A5" s="442"/>
      <c r="B5" s="742"/>
      <c r="C5" s="743" t="s">
        <v>86</v>
      </c>
      <c r="D5" s="721">
        <f>E5+F5</f>
        <v>9479.496</v>
      </c>
      <c r="E5" s="721">
        <f>SUM(E6:E46)</f>
        <v>948.84</v>
      </c>
      <c r="F5" s="721">
        <f>SUM(F6:F46)</f>
        <v>8530.656</v>
      </c>
    </row>
    <row r="6" s="44" customFormat="1" ht="22" customHeight="1" spans="1:6">
      <c r="A6" s="720" t="s">
        <v>87</v>
      </c>
      <c r="B6" s="744" t="s">
        <v>88</v>
      </c>
      <c r="C6" s="536" t="s">
        <v>89</v>
      </c>
      <c r="D6" s="549">
        <v>410</v>
      </c>
      <c r="E6" s="549">
        <f t="shared" ref="E6:E9" si="0">D6*0.6</f>
        <v>246</v>
      </c>
      <c r="F6" s="549">
        <v>164</v>
      </c>
    </row>
    <row r="7" s="44" customFormat="1" ht="22" customHeight="1" spans="1:6">
      <c r="A7" s="720"/>
      <c r="B7" s="745"/>
      <c r="C7" s="536" t="s">
        <v>90</v>
      </c>
      <c r="D7" s="549">
        <v>260</v>
      </c>
      <c r="E7" s="549">
        <f t="shared" si="0"/>
        <v>156</v>
      </c>
      <c r="F7" s="549">
        <v>104</v>
      </c>
    </row>
    <row r="8" s="44" customFormat="1" ht="22" customHeight="1" spans="1:6">
      <c r="A8" s="720"/>
      <c r="B8" s="745"/>
      <c r="C8" s="536" t="s">
        <v>91</v>
      </c>
      <c r="D8" s="549">
        <v>0.2</v>
      </c>
      <c r="E8" s="549">
        <f t="shared" si="0"/>
        <v>0.12</v>
      </c>
      <c r="F8" s="549">
        <v>0.08</v>
      </c>
    </row>
    <row r="9" s="44" customFormat="1" ht="22" customHeight="1" spans="1:6">
      <c r="A9" s="720"/>
      <c r="B9" s="745"/>
      <c r="C9" s="746" t="s">
        <v>92</v>
      </c>
      <c r="D9" s="549">
        <v>20</v>
      </c>
      <c r="E9" s="549">
        <f t="shared" si="0"/>
        <v>12</v>
      </c>
      <c r="F9" s="549">
        <v>8</v>
      </c>
    </row>
    <row r="10" s="44" customFormat="1" ht="22" customHeight="1" spans="1:6">
      <c r="A10" s="720"/>
      <c r="B10" s="745"/>
      <c r="C10" s="747" t="s">
        <v>93</v>
      </c>
      <c r="D10" s="549">
        <v>108.1</v>
      </c>
      <c r="E10" s="549">
        <v>0</v>
      </c>
      <c r="F10" s="549">
        <v>108.1</v>
      </c>
    </row>
    <row r="11" s="44" customFormat="1" ht="22" customHeight="1" spans="1:6">
      <c r="A11" s="720"/>
      <c r="B11" s="745"/>
      <c r="C11" s="747" t="s">
        <v>94</v>
      </c>
      <c r="D11" s="549">
        <v>210</v>
      </c>
      <c r="E11" s="549">
        <f>D11*0.6</f>
        <v>126</v>
      </c>
      <c r="F11" s="549">
        <v>84</v>
      </c>
    </row>
    <row r="12" s="44" customFormat="1" ht="22" customHeight="1" spans="1:6">
      <c r="A12" s="720"/>
      <c r="B12" s="745"/>
      <c r="C12" s="746" t="s">
        <v>95</v>
      </c>
      <c r="D12" s="549">
        <v>40</v>
      </c>
      <c r="E12" s="549">
        <v>32</v>
      </c>
      <c r="F12" s="549">
        <v>8</v>
      </c>
    </row>
    <row r="13" s="44" customFormat="1" ht="22" customHeight="1" spans="1:6">
      <c r="A13" s="720"/>
      <c r="B13" s="745"/>
      <c r="C13" s="747" t="s">
        <v>96</v>
      </c>
      <c r="D13" s="549">
        <v>22.8</v>
      </c>
      <c r="E13" s="549">
        <v>22.8</v>
      </c>
      <c r="F13" s="549">
        <v>0</v>
      </c>
    </row>
    <row r="14" s="44" customFormat="1" ht="22" customHeight="1" spans="1:6">
      <c r="A14" s="720"/>
      <c r="B14" s="745"/>
      <c r="C14" s="747" t="s">
        <v>97</v>
      </c>
      <c r="D14" s="549">
        <v>0</v>
      </c>
      <c r="E14" s="549">
        <v>0</v>
      </c>
      <c r="F14" s="549">
        <v>0</v>
      </c>
    </row>
    <row r="15" s="44" customFormat="1" ht="22" customHeight="1" spans="1:6">
      <c r="A15" s="720"/>
      <c r="B15" s="745"/>
      <c r="C15" s="747" t="s">
        <v>98</v>
      </c>
      <c r="D15" s="549">
        <v>300</v>
      </c>
      <c r="E15" s="549">
        <v>0</v>
      </c>
      <c r="F15" s="549">
        <v>300</v>
      </c>
    </row>
    <row r="16" s="44" customFormat="1" ht="22" customHeight="1" spans="1:6">
      <c r="A16" s="720"/>
      <c r="B16" s="748"/>
      <c r="C16" s="747" t="s">
        <v>99</v>
      </c>
      <c r="D16" s="549">
        <v>120</v>
      </c>
      <c r="E16" s="549">
        <v>0</v>
      </c>
      <c r="F16" s="549">
        <v>120</v>
      </c>
    </row>
    <row r="17" s="44" customFormat="1" ht="22" customHeight="1" spans="1:6">
      <c r="A17" s="720"/>
      <c r="B17" s="744" t="s">
        <v>100</v>
      </c>
      <c r="C17" s="746" t="s">
        <v>101</v>
      </c>
      <c r="D17" s="549">
        <v>2000</v>
      </c>
      <c r="E17" s="549">
        <v>300</v>
      </c>
      <c r="F17" s="549">
        <v>1700</v>
      </c>
    </row>
    <row r="18" s="44" customFormat="1" ht="22" customHeight="1" spans="1:6">
      <c r="A18" s="720"/>
      <c r="B18" s="745"/>
      <c r="C18" s="746" t="s">
        <v>102</v>
      </c>
      <c r="D18" s="549">
        <v>0</v>
      </c>
      <c r="E18" s="549">
        <v>0</v>
      </c>
      <c r="F18" s="549">
        <v>0</v>
      </c>
    </row>
    <row r="19" s="44" customFormat="1" ht="22" customHeight="1" spans="1:6">
      <c r="A19" s="720"/>
      <c r="B19" s="745"/>
      <c r="C19" s="747" t="s">
        <v>103</v>
      </c>
      <c r="D19" s="549">
        <v>50</v>
      </c>
      <c r="E19" s="549">
        <v>0</v>
      </c>
      <c r="F19" s="549">
        <v>50</v>
      </c>
    </row>
    <row r="20" s="44" customFormat="1" ht="22" customHeight="1" spans="1:6">
      <c r="A20" s="720"/>
      <c r="B20" s="745"/>
      <c r="C20" s="747" t="s">
        <v>104</v>
      </c>
      <c r="D20" s="549">
        <v>0</v>
      </c>
      <c r="E20" s="549">
        <v>0</v>
      </c>
      <c r="F20" s="549">
        <v>0</v>
      </c>
    </row>
    <row r="21" s="44" customFormat="1" ht="22" customHeight="1" spans="1:6">
      <c r="A21" s="720"/>
      <c r="B21" s="745"/>
      <c r="C21" s="747" t="s">
        <v>105</v>
      </c>
      <c r="D21" s="549">
        <v>500</v>
      </c>
      <c r="E21" s="549">
        <v>0</v>
      </c>
      <c r="F21" s="549">
        <v>500</v>
      </c>
    </row>
    <row r="22" s="44" customFormat="1" ht="22" customHeight="1" spans="1:6">
      <c r="A22" s="720"/>
      <c r="B22" s="748"/>
      <c r="C22" s="747" t="s">
        <v>106</v>
      </c>
      <c r="D22" s="549">
        <v>210</v>
      </c>
      <c r="E22" s="549">
        <v>0</v>
      </c>
      <c r="F22" s="549">
        <v>210</v>
      </c>
    </row>
    <row r="23" s="44" customFormat="1" ht="22" customHeight="1" spans="1:6">
      <c r="A23" s="720"/>
      <c r="B23" s="744" t="s">
        <v>107</v>
      </c>
      <c r="C23" s="746" t="s">
        <v>108</v>
      </c>
      <c r="D23" s="549">
        <v>3000</v>
      </c>
      <c r="E23" s="549">
        <v>0</v>
      </c>
      <c r="F23" s="549">
        <v>3000</v>
      </c>
    </row>
    <row r="24" s="44" customFormat="1" ht="22" customHeight="1" spans="1:6">
      <c r="A24" s="720"/>
      <c r="B24" s="745"/>
      <c r="C24" s="747" t="s">
        <v>109</v>
      </c>
      <c r="D24" s="549">
        <v>54</v>
      </c>
      <c r="E24" s="549">
        <v>0</v>
      </c>
      <c r="F24" s="549">
        <v>54</v>
      </c>
    </row>
    <row r="25" s="44" customFormat="1" ht="22" customHeight="1" spans="1:6">
      <c r="A25" s="720"/>
      <c r="B25" s="745"/>
      <c r="C25" s="747" t="s">
        <v>110</v>
      </c>
      <c r="D25" s="549">
        <v>0</v>
      </c>
      <c r="E25" s="549">
        <v>0</v>
      </c>
      <c r="F25" s="549">
        <v>0</v>
      </c>
    </row>
    <row r="26" s="44" customFormat="1" ht="22" customHeight="1" spans="1:6">
      <c r="A26" s="720"/>
      <c r="B26" s="745"/>
      <c r="C26" s="747" t="s">
        <v>111</v>
      </c>
      <c r="D26" s="549">
        <v>700</v>
      </c>
      <c r="E26" s="549">
        <v>0</v>
      </c>
      <c r="F26" s="549">
        <v>700</v>
      </c>
    </row>
    <row r="27" s="44" customFormat="1" ht="22" customHeight="1" spans="1:6">
      <c r="A27" s="720"/>
      <c r="B27" s="748"/>
      <c r="C27" s="747" t="s">
        <v>112</v>
      </c>
      <c r="D27" s="549">
        <v>300</v>
      </c>
      <c r="E27" s="549">
        <v>0</v>
      </c>
      <c r="F27" s="549">
        <v>300</v>
      </c>
    </row>
    <row r="28" s="44" customFormat="1" ht="22" customHeight="1" spans="1:6">
      <c r="A28" s="720"/>
      <c r="B28" s="744" t="s">
        <v>113</v>
      </c>
      <c r="C28" s="746" t="s">
        <v>114</v>
      </c>
      <c r="D28" s="549">
        <v>240</v>
      </c>
      <c r="E28" s="549">
        <v>0</v>
      </c>
      <c r="F28" s="549">
        <v>240</v>
      </c>
    </row>
    <row r="29" s="44" customFormat="1" ht="22" customHeight="1" spans="1:6">
      <c r="A29" s="720"/>
      <c r="B29" s="745"/>
      <c r="C29" s="747" t="s">
        <v>115</v>
      </c>
      <c r="D29" s="549">
        <v>0</v>
      </c>
      <c r="E29" s="549">
        <v>0</v>
      </c>
      <c r="F29" s="549">
        <v>0</v>
      </c>
    </row>
    <row r="30" s="44" customFormat="1" ht="22" customHeight="1" spans="1:6">
      <c r="A30" s="720"/>
      <c r="B30" s="745"/>
      <c r="C30" s="747" t="s">
        <v>116</v>
      </c>
      <c r="D30" s="549">
        <v>0</v>
      </c>
      <c r="E30" s="549">
        <v>0</v>
      </c>
      <c r="F30" s="549">
        <v>0</v>
      </c>
    </row>
    <row r="31" s="44" customFormat="1" ht="22" customHeight="1" spans="1:6">
      <c r="A31" s="720"/>
      <c r="B31" s="745"/>
      <c r="C31" s="747" t="s">
        <v>117</v>
      </c>
      <c r="D31" s="549">
        <v>90</v>
      </c>
      <c r="E31" s="549">
        <v>0</v>
      </c>
      <c r="F31" s="549">
        <v>90</v>
      </c>
    </row>
    <row r="32" s="44" customFormat="1" ht="22" customHeight="1" spans="1:6">
      <c r="A32" s="720"/>
      <c r="B32" s="745"/>
      <c r="C32" s="747" t="s">
        <v>118</v>
      </c>
      <c r="D32" s="549">
        <v>100</v>
      </c>
      <c r="E32" s="549">
        <v>0</v>
      </c>
      <c r="F32" s="549">
        <v>100</v>
      </c>
    </row>
    <row r="33" s="44" customFormat="1" ht="22" customHeight="1" spans="1:6">
      <c r="A33" s="720"/>
      <c r="B33" s="745"/>
      <c r="C33" s="747" t="s">
        <v>119</v>
      </c>
      <c r="D33" s="549">
        <v>20</v>
      </c>
      <c r="E33" s="549">
        <v>0</v>
      </c>
      <c r="F33" s="549">
        <v>20</v>
      </c>
    </row>
    <row r="34" s="44" customFormat="1" ht="22" customHeight="1" spans="1:6">
      <c r="A34" s="720"/>
      <c r="B34" s="744" t="s">
        <v>120</v>
      </c>
      <c r="C34" s="747" t="s">
        <v>121</v>
      </c>
      <c r="D34" s="549">
        <v>14</v>
      </c>
      <c r="E34" s="549">
        <v>14</v>
      </c>
      <c r="F34" s="549">
        <v>0</v>
      </c>
    </row>
    <row r="35" s="44" customFormat="1" ht="22" customHeight="1" spans="1:6">
      <c r="A35" s="720"/>
      <c r="B35" s="745"/>
      <c r="C35" s="747" t="s">
        <v>122</v>
      </c>
      <c r="D35" s="549">
        <v>0</v>
      </c>
      <c r="E35" s="549">
        <v>0</v>
      </c>
      <c r="F35" s="549">
        <v>0</v>
      </c>
    </row>
    <row r="36" s="44" customFormat="1" ht="22" customHeight="1" spans="1:6">
      <c r="A36" s="720"/>
      <c r="B36" s="748"/>
      <c r="C36" s="747" t="s">
        <v>123</v>
      </c>
      <c r="D36" s="549">
        <v>6</v>
      </c>
      <c r="E36" s="549">
        <v>0</v>
      </c>
      <c r="F36" s="549">
        <v>6</v>
      </c>
    </row>
    <row r="37" s="44" customFormat="1" ht="22" customHeight="1" spans="1:6">
      <c r="A37" s="720"/>
      <c r="B37" s="749" t="s">
        <v>107</v>
      </c>
      <c r="C37" s="747" t="s">
        <v>124</v>
      </c>
      <c r="D37" s="549">
        <v>0.5</v>
      </c>
      <c r="E37" s="549">
        <v>0</v>
      </c>
      <c r="F37" s="549">
        <v>0.5</v>
      </c>
    </row>
    <row r="38" s="44" customFormat="1" ht="22" customHeight="1" spans="1:6">
      <c r="A38" s="720"/>
      <c r="B38" s="749" t="s">
        <v>125</v>
      </c>
      <c r="C38" s="747" t="s">
        <v>126</v>
      </c>
      <c r="D38" s="549">
        <v>0</v>
      </c>
      <c r="E38" s="549">
        <v>0</v>
      </c>
      <c r="F38" s="549">
        <v>0</v>
      </c>
    </row>
    <row r="39" s="44" customFormat="1" ht="22" customHeight="1" spans="1:6">
      <c r="A39" s="720"/>
      <c r="B39" s="750"/>
      <c r="C39" s="747" t="s">
        <v>127</v>
      </c>
      <c r="D39" s="549">
        <v>200</v>
      </c>
      <c r="E39" s="549">
        <v>0</v>
      </c>
      <c r="F39" s="549">
        <v>200</v>
      </c>
    </row>
    <row r="40" s="44" customFormat="1" ht="22" customHeight="1" spans="1:6">
      <c r="A40" s="720"/>
      <c r="B40" s="750"/>
      <c r="C40" s="747" t="s">
        <v>128</v>
      </c>
      <c r="D40" s="549">
        <v>300</v>
      </c>
      <c r="E40" s="549">
        <v>0</v>
      </c>
      <c r="F40" s="549">
        <v>300</v>
      </c>
    </row>
    <row r="41" s="44" customFormat="1" ht="22" customHeight="1" spans="1:6">
      <c r="A41" s="720"/>
      <c r="B41" s="750"/>
      <c r="C41" s="747" t="s">
        <v>129</v>
      </c>
      <c r="D41" s="549">
        <v>15.2</v>
      </c>
      <c r="E41" s="549">
        <v>9.12</v>
      </c>
      <c r="F41" s="549">
        <v>6.08</v>
      </c>
    </row>
    <row r="42" s="44" customFormat="1" ht="22" customHeight="1" spans="1:6">
      <c r="A42" s="720"/>
      <c r="B42" s="750"/>
      <c r="C42" s="746" t="s">
        <v>130</v>
      </c>
      <c r="D42" s="549">
        <v>24</v>
      </c>
      <c r="E42" s="549">
        <v>24</v>
      </c>
      <c r="F42" s="549">
        <v>0</v>
      </c>
    </row>
    <row r="43" s="44" customFormat="1" ht="22" customHeight="1" spans="1:6">
      <c r="A43" s="720"/>
      <c r="B43" s="749" t="s">
        <v>131</v>
      </c>
      <c r="C43" s="747" t="s">
        <v>132</v>
      </c>
      <c r="D43" s="549">
        <v>60</v>
      </c>
      <c r="E43" s="549">
        <v>0</v>
      </c>
      <c r="F43" s="549">
        <v>60</v>
      </c>
    </row>
    <row r="44" s="45" customFormat="1" ht="22" customHeight="1" spans="1:6">
      <c r="A44" s="720" t="s">
        <v>133</v>
      </c>
      <c r="B44" s="749" t="s">
        <v>133</v>
      </c>
      <c r="C44" s="747" t="s">
        <v>134</v>
      </c>
      <c r="D44" s="549">
        <v>97.896</v>
      </c>
      <c r="E44" s="549">
        <v>0</v>
      </c>
      <c r="F44" s="549">
        <v>97.896</v>
      </c>
    </row>
    <row r="45" ht="22" customHeight="1" spans="1:6">
      <c r="A45" s="720" t="s">
        <v>135</v>
      </c>
      <c r="B45" s="749" t="s">
        <v>136</v>
      </c>
      <c r="C45" s="747" t="s">
        <v>137</v>
      </c>
      <c r="D45" s="549">
        <v>6.8</v>
      </c>
      <c r="E45" s="549">
        <v>6.8</v>
      </c>
      <c r="F45" s="549">
        <v>0</v>
      </c>
    </row>
    <row r="46" s="44" customFormat="1" ht="22" customHeight="1" spans="1:6">
      <c r="A46" s="751" t="s">
        <v>138</v>
      </c>
      <c r="B46" s="752"/>
      <c r="C46" s="746" t="s">
        <v>139</v>
      </c>
      <c r="D46" s="449">
        <v>0</v>
      </c>
      <c r="E46" s="449">
        <v>0</v>
      </c>
      <c r="F46" s="449">
        <v>0</v>
      </c>
    </row>
    <row r="47" spans="2:5">
      <c r="B47" s="556" t="s">
        <v>76</v>
      </c>
      <c r="C47" s="557" t="s">
        <v>77</v>
      </c>
      <c r="D47" s="558"/>
      <c r="E47" s="558" t="s">
        <v>140</v>
      </c>
    </row>
  </sheetData>
  <mergeCells count="13">
    <mergeCell ref="A1:F1"/>
    <mergeCell ref="A2:C2"/>
    <mergeCell ref="B3:C3"/>
    <mergeCell ref="E3:F3"/>
    <mergeCell ref="B4:C4"/>
    <mergeCell ref="A3:A4"/>
    <mergeCell ref="A6:A43"/>
    <mergeCell ref="B6:B16"/>
    <mergeCell ref="B17:B22"/>
    <mergeCell ref="B23:B27"/>
    <mergeCell ref="B28:B33"/>
    <mergeCell ref="B34:B36"/>
    <mergeCell ref="D3:D4"/>
  </mergeCells>
  <pageMargins left="0.629861111111111" right="0.156944444444444" top="0.66875" bottom="0.196527777777778" header="0.5" footer="0.0784722222222222"/>
  <pageSetup paperSize="9" scale="7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F2" sqref="F$1:F$1048576"/>
    </sheetView>
  </sheetViews>
  <sheetFormatPr defaultColWidth="9" defaultRowHeight="13.5" outlineLevelCol="5"/>
  <cols>
    <col min="1" max="1" width="13.5" style="2" customWidth="1"/>
    <col min="2" max="2" width="27.5" style="2" customWidth="1"/>
    <col min="3" max="3" width="18.375" style="471" customWidth="1"/>
    <col min="4" max="4" width="20.75" style="471" customWidth="1"/>
    <col min="5" max="5" width="13.875" style="471" customWidth="1"/>
    <col min="6" max="6" width="16.625" style="2" customWidth="1"/>
    <col min="7" max="16384" width="9" style="2"/>
  </cols>
  <sheetData>
    <row r="1" ht="59" customHeight="1" spans="1:6">
      <c r="A1" s="713" t="s">
        <v>141</v>
      </c>
      <c r="B1" s="391"/>
      <c r="C1" s="523"/>
      <c r="D1" s="523"/>
      <c r="E1" s="523"/>
      <c r="F1" s="391"/>
    </row>
    <row r="2" ht="36" customHeight="1" spans="1:6">
      <c r="A2" s="494" t="s">
        <v>142</v>
      </c>
      <c r="B2" s="494" t="s">
        <v>143</v>
      </c>
      <c r="C2" s="714" t="s">
        <v>57</v>
      </c>
      <c r="D2" s="715" t="s">
        <v>83</v>
      </c>
      <c r="E2" s="716"/>
      <c r="F2" s="73" t="s">
        <v>144</v>
      </c>
    </row>
    <row r="3" ht="41" customHeight="1" spans="1:6">
      <c r="A3" s="499"/>
      <c r="B3" s="499"/>
      <c r="C3" s="717"/>
      <c r="D3" s="718" t="s">
        <v>84</v>
      </c>
      <c r="E3" s="718" t="s">
        <v>85</v>
      </c>
      <c r="F3" s="73"/>
    </row>
    <row r="4" ht="36" customHeight="1" spans="1:6">
      <c r="A4" s="719"/>
      <c r="B4" s="720" t="s">
        <v>34</v>
      </c>
      <c r="C4" s="721">
        <f>D4+E4</f>
        <v>540.78</v>
      </c>
      <c r="D4" s="721">
        <f>SUM(D5:D11)</f>
        <v>0</v>
      </c>
      <c r="E4" s="721">
        <f>SUM(E5:E11)</f>
        <v>540.78</v>
      </c>
      <c r="F4" s="640"/>
    </row>
    <row r="5" s="2" customFormat="1" ht="36" customHeight="1" spans="1:6">
      <c r="A5" s="553" t="s">
        <v>145</v>
      </c>
      <c r="B5" s="722" t="s">
        <v>146</v>
      </c>
      <c r="C5" s="723">
        <f t="shared" ref="C5:C11" si="0">D5+E5</f>
        <v>330.65</v>
      </c>
      <c r="D5" s="549">
        <v>0</v>
      </c>
      <c r="E5" s="549">
        <v>330.65</v>
      </c>
      <c r="F5" s="724"/>
    </row>
    <row r="6" s="2" customFormat="1" ht="42" customHeight="1" spans="1:6">
      <c r="A6" s="725"/>
      <c r="B6" s="722" t="s">
        <v>147</v>
      </c>
      <c r="C6" s="723">
        <f t="shared" si="0"/>
        <v>205.09</v>
      </c>
      <c r="D6" s="549">
        <v>0</v>
      </c>
      <c r="E6" s="549">
        <v>205.09</v>
      </c>
      <c r="F6" s="724"/>
    </row>
    <row r="7" s="2" customFormat="1" ht="30" customHeight="1" spans="1:6">
      <c r="A7" s="553" t="s">
        <v>148</v>
      </c>
      <c r="B7" s="722" t="s">
        <v>149</v>
      </c>
      <c r="C7" s="723">
        <f t="shared" si="0"/>
        <v>5.04</v>
      </c>
      <c r="D7" s="549">
        <v>0</v>
      </c>
      <c r="E7" s="549">
        <v>5.04</v>
      </c>
      <c r="F7" s="726"/>
    </row>
    <row r="8" s="2" customFormat="1" ht="30" customHeight="1" spans="1:6">
      <c r="A8" s="725"/>
      <c r="B8" s="727" t="s">
        <v>150</v>
      </c>
      <c r="C8" s="723">
        <f t="shared" si="0"/>
        <v>0</v>
      </c>
      <c r="D8" s="549">
        <v>0</v>
      </c>
      <c r="E8" s="549">
        <v>0</v>
      </c>
      <c r="F8" s="726"/>
    </row>
    <row r="9" s="2" customFormat="1" ht="30" customHeight="1" spans="1:6">
      <c r="A9" s="553" t="s">
        <v>151</v>
      </c>
      <c r="B9" s="727" t="s">
        <v>152</v>
      </c>
      <c r="C9" s="723">
        <f t="shared" si="0"/>
        <v>0</v>
      </c>
      <c r="D9" s="549">
        <v>0</v>
      </c>
      <c r="E9" s="549">
        <v>0</v>
      </c>
      <c r="F9" s="726"/>
    </row>
    <row r="10" s="2" customFormat="1" ht="30" customHeight="1" spans="1:6">
      <c r="A10" s="725"/>
      <c r="B10" s="727" t="s">
        <v>153</v>
      </c>
      <c r="C10" s="723">
        <f t="shared" si="0"/>
        <v>0</v>
      </c>
      <c r="D10" s="549">
        <v>0</v>
      </c>
      <c r="E10" s="549">
        <v>0</v>
      </c>
      <c r="F10" s="726"/>
    </row>
    <row r="11" s="2" customFormat="1" ht="30" customHeight="1" spans="1:6">
      <c r="A11" s="554"/>
      <c r="B11" s="722" t="s">
        <v>154</v>
      </c>
      <c r="C11" s="723">
        <f t="shared" si="0"/>
        <v>0</v>
      </c>
      <c r="D11" s="449">
        <v>0</v>
      </c>
      <c r="E11" s="449">
        <v>0</v>
      </c>
      <c r="F11" s="728"/>
    </row>
    <row r="12" ht="24.95" customHeight="1" spans="1:5">
      <c r="A12" s="556" t="s">
        <v>76</v>
      </c>
      <c r="B12" s="557" t="s">
        <v>77</v>
      </c>
      <c r="C12" s="558"/>
      <c r="D12" s="558" t="s">
        <v>140</v>
      </c>
      <c r="E12" s="729"/>
    </row>
    <row r="13" spans="3:5">
      <c r="C13" s="729"/>
      <c r="D13" s="729"/>
      <c r="E13" s="729"/>
    </row>
    <row r="14" spans="3:5">
      <c r="C14" s="729"/>
      <c r="D14" s="729"/>
      <c r="E14" s="729"/>
    </row>
  </sheetData>
  <mergeCells count="8">
    <mergeCell ref="A1:F1"/>
    <mergeCell ref="D2:E2"/>
    <mergeCell ref="A2:A3"/>
    <mergeCell ref="A5:A6"/>
    <mergeCell ref="A7:A8"/>
    <mergeCell ref="A9:A11"/>
    <mergeCell ref="B2:B3"/>
    <mergeCell ref="C2:C3"/>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workbookViewId="0">
      <selection activeCell="D5" sqref="D5"/>
    </sheetView>
  </sheetViews>
  <sheetFormatPr defaultColWidth="9" defaultRowHeight="13.5" outlineLevelCol="4"/>
  <cols>
    <col min="1" max="1" width="16.625" style="670" customWidth="1"/>
    <col min="2" max="2" width="20.5" style="673" customWidth="1"/>
    <col min="3" max="3" width="12.875" style="674" customWidth="1"/>
    <col min="4" max="4" width="61.75" style="674" customWidth="1"/>
    <col min="5" max="5" width="19.75" style="674" customWidth="1"/>
    <col min="6" max="16383" width="9" style="670"/>
  </cols>
  <sheetData>
    <row r="1" s="670" customFormat="1" ht="34.5" customHeight="1" spans="1:5">
      <c r="A1" s="675" t="s">
        <v>155</v>
      </c>
      <c r="B1" s="675"/>
      <c r="C1" s="676"/>
      <c r="D1" s="675"/>
      <c r="E1" s="675"/>
    </row>
    <row r="2" s="670" customFormat="1" ht="24.95" customHeight="1" spans="1:5">
      <c r="A2" s="672"/>
      <c r="B2" s="677"/>
      <c r="C2" s="678"/>
      <c r="D2" s="674"/>
      <c r="E2" s="679" t="s">
        <v>156</v>
      </c>
    </row>
    <row r="3" s="671" customFormat="1" ht="33" customHeight="1" spans="1:5">
      <c r="A3" s="680" t="s">
        <v>142</v>
      </c>
      <c r="B3" s="681" t="s">
        <v>143</v>
      </c>
      <c r="C3" s="682" t="s">
        <v>57</v>
      </c>
      <c r="D3" s="682" t="s">
        <v>157</v>
      </c>
      <c r="E3" s="682" t="s">
        <v>158</v>
      </c>
    </row>
    <row r="4" s="670" customFormat="1" ht="45" customHeight="1" spans="1:5">
      <c r="A4" s="659" t="s">
        <v>159</v>
      </c>
      <c r="B4" s="683" t="s">
        <v>160</v>
      </c>
      <c r="C4" s="503">
        <v>0.6</v>
      </c>
      <c r="D4" s="659" t="s">
        <v>161</v>
      </c>
      <c r="E4" s="684" t="s">
        <v>162</v>
      </c>
    </row>
    <row r="5" s="670" customFormat="1" ht="25" customHeight="1" spans="1:5">
      <c r="A5" s="659" t="s">
        <v>163</v>
      </c>
      <c r="B5" s="683"/>
      <c r="C5" s="503">
        <v>0.5</v>
      </c>
      <c r="D5" s="659" t="s">
        <v>164</v>
      </c>
      <c r="E5" s="685"/>
    </row>
    <row r="6" s="670" customFormat="1" ht="25" customHeight="1" spans="1:5">
      <c r="A6" s="659" t="s">
        <v>165</v>
      </c>
      <c r="B6" s="683"/>
      <c r="C6" s="503">
        <v>0.5</v>
      </c>
      <c r="D6" s="659" t="s">
        <v>166</v>
      </c>
      <c r="E6" s="685"/>
    </row>
    <row r="7" s="670" customFormat="1" ht="23" customHeight="1" spans="1:5">
      <c r="A7" s="682" t="s">
        <v>167</v>
      </c>
      <c r="B7" s="686"/>
      <c r="C7" s="687">
        <f>SUM(C4:C6)</f>
        <v>1.6</v>
      </c>
      <c r="D7" s="688"/>
      <c r="E7" s="689"/>
    </row>
    <row r="8" s="670" customFormat="1" ht="30" customHeight="1" spans="1:5">
      <c r="A8" s="659" t="s">
        <v>168</v>
      </c>
      <c r="B8" s="690" t="s">
        <v>169</v>
      </c>
      <c r="C8" s="503">
        <v>0.1</v>
      </c>
      <c r="D8" s="659" t="s">
        <v>170</v>
      </c>
      <c r="E8" s="684" t="s">
        <v>171</v>
      </c>
    </row>
    <row r="9" s="670" customFormat="1" ht="30" customHeight="1" spans="1:5">
      <c r="A9" s="659" t="s">
        <v>172</v>
      </c>
      <c r="B9" s="690"/>
      <c r="C9" s="503">
        <v>0.1</v>
      </c>
      <c r="D9" s="659" t="s">
        <v>173</v>
      </c>
      <c r="E9" s="685"/>
    </row>
    <row r="10" s="670" customFormat="1" ht="30" customHeight="1" spans="1:5">
      <c r="A10" s="659" t="s">
        <v>159</v>
      </c>
      <c r="B10" s="690"/>
      <c r="C10" s="503">
        <v>0.8</v>
      </c>
      <c r="D10" s="659" t="s">
        <v>174</v>
      </c>
      <c r="E10" s="685"/>
    </row>
    <row r="11" s="670" customFormat="1" ht="30" customHeight="1" spans="1:5">
      <c r="A11" s="659" t="s">
        <v>165</v>
      </c>
      <c r="B11" s="690"/>
      <c r="C11" s="503">
        <v>0.2</v>
      </c>
      <c r="D11" s="659" t="s">
        <v>175</v>
      </c>
      <c r="E11" s="685"/>
    </row>
    <row r="12" s="670" customFormat="1" ht="42" customHeight="1" spans="1:5">
      <c r="A12" s="659" t="s">
        <v>176</v>
      </c>
      <c r="B12" s="690"/>
      <c r="C12" s="503">
        <v>4</v>
      </c>
      <c r="D12" s="659" t="s">
        <v>177</v>
      </c>
      <c r="E12" s="685"/>
    </row>
    <row r="13" s="670" customFormat="1" ht="30" customHeight="1" spans="1:5">
      <c r="A13" s="659" t="s">
        <v>178</v>
      </c>
      <c r="B13" s="690"/>
      <c r="C13" s="503">
        <v>0.5</v>
      </c>
      <c r="D13" s="659" t="s">
        <v>179</v>
      </c>
      <c r="E13" s="685"/>
    </row>
    <row r="14" s="670" customFormat="1" ht="23" customHeight="1" spans="1:5">
      <c r="A14" s="682" t="s">
        <v>167</v>
      </c>
      <c r="B14" s="686"/>
      <c r="C14" s="687">
        <f>SUM(C8:C13)</f>
        <v>5.7</v>
      </c>
      <c r="D14" s="688"/>
      <c r="E14" s="689"/>
    </row>
    <row r="15" s="670" customFormat="1" ht="33" customHeight="1" spans="1:5">
      <c r="A15" s="691" t="s">
        <v>180</v>
      </c>
      <c r="B15" s="692"/>
      <c r="C15" s="503">
        <v>0.6</v>
      </c>
      <c r="D15" s="659" t="s">
        <v>181</v>
      </c>
      <c r="E15" s="685"/>
    </row>
    <row r="16" s="670" customFormat="1" ht="24" customHeight="1" spans="1:5">
      <c r="A16" s="693" t="s">
        <v>135</v>
      </c>
      <c r="B16" s="690" t="s">
        <v>182</v>
      </c>
      <c r="C16" s="503">
        <v>1</v>
      </c>
      <c r="D16" s="659" t="s">
        <v>183</v>
      </c>
      <c r="E16" s="694" t="s">
        <v>184</v>
      </c>
    </row>
    <row r="17" s="670" customFormat="1" ht="21" customHeight="1" spans="1:5">
      <c r="A17" s="693" t="s">
        <v>185</v>
      </c>
      <c r="B17" s="690"/>
      <c r="C17" s="503">
        <v>0.5</v>
      </c>
      <c r="D17" s="659" t="s">
        <v>186</v>
      </c>
      <c r="E17" s="695"/>
    </row>
    <row r="18" s="670" customFormat="1" ht="95" customHeight="1" spans="1:5">
      <c r="A18" s="693" t="s">
        <v>187</v>
      </c>
      <c r="B18" s="690"/>
      <c r="C18" s="503">
        <v>0.135</v>
      </c>
      <c r="D18" s="659" t="s">
        <v>188</v>
      </c>
      <c r="E18" s="695"/>
    </row>
    <row r="19" s="670" customFormat="1" ht="167" customHeight="1" spans="1:5">
      <c r="A19" s="693" t="s">
        <v>189</v>
      </c>
      <c r="B19" s="690"/>
      <c r="C19" s="503">
        <v>1.32</v>
      </c>
      <c r="D19" s="659" t="s">
        <v>190</v>
      </c>
      <c r="E19" s="695"/>
    </row>
    <row r="20" s="670" customFormat="1" ht="81" customHeight="1" spans="1:5">
      <c r="A20" s="693" t="s">
        <v>191</v>
      </c>
      <c r="B20" s="690"/>
      <c r="C20" s="503">
        <v>2</v>
      </c>
      <c r="D20" s="659" t="s">
        <v>192</v>
      </c>
      <c r="E20" s="695"/>
    </row>
    <row r="21" s="670" customFormat="1" ht="27" customHeight="1" spans="1:5">
      <c r="A21" s="693" t="s">
        <v>168</v>
      </c>
      <c r="B21" s="690"/>
      <c r="C21" s="503">
        <v>0.6</v>
      </c>
      <c r="D21" s="659" t="s">
        <v>193</v>
      </c>
      <c r="E21" s="695"/>
    </row>
    <row r="22" s="670" customFormat="1" ht="27" customHeight="1" spans="1:5">
      <c r="A22" s="693" t="s">
        <v>172</v>
      </c>
      <c r="B22" s="690"/>
      <c r="C22" s="503">
        <v>0.6</v>
      </c>
      <c r="D22" s="659" t="s">
        <v>194</v>
      </c>
      <c r="E22" s="695"/>
    </row>
    <row r="23" s="670" customFormat="1" ht="50" customHeight="1" spans="1:5">
      <c r="A23" s="693" t="s">
        <v>195</v>
      </c>
      <c r="B23" s="690"/>
      <c r="C23" s="503">
        <v>0.5</v>
      </c>
      <c r="D23" s="659" t="s">
        <v>196</v>
      </c>
      <c r="E23" s="695"/>
    </row>
    <row r="24" s="670" customFormat="1" ht="91" customHeight="1" spans="1:5">
      <c r="A24" s="693" t="s">
        <v>197</v>
      </c>
      <c r="B24" s="690"/>
      <c r="C24" s="503">
        <v>0.5</v>
      </c>
      <c r="D24" s="659" t="s">
        <v>198</v>
      </c>
      <c r="E24" s="695"/>
    </row>
    <row r="25" s="670" customFormat="1" ht="28" customHeight="1" spans="1:5">
      <c r="A25" s="693" t="s">
        <v>199</v>
      </c>
      <c r="B25" s="690"/>
      <c r="C25" s="503">
        <v>0.3</v>
      </c>
      <c r="D25" s="659" t="s">
        <v>200</v>
      </c>
      <c r="E25" s="695"/>
    </row>
    <row r="26" s="670" customFormat="1" ht="112" customHeight="1" spans="1:5">
      <c r="A26" s="693" t="s">
        <v>159</v>
      </c>
      <c r="B26" s="690"/>
      <c r="C26" s="503">
        <v>1.91</v>
      </c>
      <c r="D26" s="659" t="s">
        <v>201</v>
      </c>
      <c r="E26" s="695"/>
    </row>
    <row r="27" s="670" customFormat="1" ht="40" customHeight="1" spans="1:5">
      <c r="A27" s="693" t="s">
        <v>202</v>
      </c>
      <c r="B27" s="690"/>
      <c r="C27" s="503">
        <v>0.9</v>
      </c>
      <c r="D27" s="659" t="s">
        <v>203</v>
      </c>
      <c r="E27" s="695"/>
    </row>
    <row r="28" s="670" customFormat="1" ht="40" customHeight="1" spans="1:5">
      <c r="A28" s="693" t="s">
        <v>204</v>
      </c>
      <c r="B28" s="690"/>
      <c r="C28" s="503">
        <v>0.6</v>
      </c>
      <c r="D28" s="634" t="s">
        <v>205</v>
      </c>
      <c r="E28" s="695"/>
    </row>
    <row r="29" s="670" customFormat="1" ht="72" customHeight="1" spans="1:5">
      <c r="A29" s="693" t="s">
        <v>206</v>
      </c>
      <c r="B29" s="690"/>
      <c r="C29" s="503">
        <v>0.45</v>
      </c>
      <c r="D29" s="659" t="s">
        <v>207</v>
      </c>
      <c r="E29" s="695"/>
    </row>
    <row r="30" s="670" customFormat="1" ht="40" customHeight="1" spans="1:5">
      <c r="A30" s="693" t="s">
        <v>145</v>
      </c>
      <c r="B30" s="690"/>
      <c r="C30" s="503">
        <v>0.6</v>
      </c>
      <c r="D30" s="659" t="s">
        <v>208</v>
      </c>
      <c r="E30" s="695"/>
    </row>
    <row r="31" s="670" customFormat="1" ht="60" customHeight="1" spans="1:5">
      <c r="A31" s="693" t="s">
        <v>209</v>
      </c>
      <c r="B31" s="690"/>
      <c r="C31" s="503">
        <v>0.1</v>
      </c>
      <c r="D31" s="659" t="s">
        <v>210</v>
      </c>
      <c r="E31" s="695"/>
    </row>
    <row r="32" s="670" customFormat="1" ht="48" customHeight="1" spans="1:5">
      <c r="A32" s="693" t="s">
        <v>211</v>
      </c>
      <c r="B32" s="690"/>
      <c r="C32" s="503">
        <v>0.85</v>
      </c>
      <c r="D32" s="659" t="s">
        <v>212</v>
      </c>
      <c r="E32" s="695"/>
    </row>
    <row r="33" s="670" customFormat="1" ht="70" customHeight="1" spans="1:5">
      <c r="A33" s="693" t="s">
        <v>213</v>
      </c>
      <c r="B33" s="690"/>
      <c r="C33" s="503">
        <v>2.2</v>
      </c>
      <c r="D33" s="659" t="s">
        <v>214</v>
      </c>
      <c r="E33" s="695"/>
    </row>
    <row r="34" s="670" customFormat="1" ht="63" customHeight="1" spans="1:5">
      <c r="A34" s="693" t="s">
        <v>176</v>
      </c>
      <c r="B34" s="690"/>
      <c r="C34" s="503">
        <v>0.9</v>
      </c>
      <c r="D34" s="659" t="s">
        <v>215</v>
      </c>
      <c r="E34" s="695"/>
    </row>
    <row r="35" s="670" customFormat="1" ht="74" customHeight="1" spans="1:5">
      <c r="A35" s="693" t="s">
        <v>216</v>
      </c>
      <c r="B35" s="690"/>
      <c r="C35" s="503">
        <v>0.3</v>
      </c>
      <c r="D35" s="659" t="s">
        <v>217</v>
      </c>
      <c r="E35" s="695"/>
    </row>
    <row r="36" s="670" customFormat="1" ht="45" customHeight="1" spans="1:5">
      <c r="A36" s="693" t="s">
        <v>218</v>
      </c>
      <c r="B36" s="690"/>
      <c r="C36" s="503">
        <v>0.75</v>
      </c>
      <c r="D36" s="659" t="s">
        <v>219</v>
      </c>
      <c r="E36" s="695"/>
    </row>
    <row r="37" s="670" customFormat="1" ht="37" customHeight="1" spans="1:5">
      <c r="A37" s="693" t="s">
        <v>220</v>
      </c>
      <c r="B37" s="690"/>
      <c r="C37" s="503">
        <v>0.2</v>
      </c>
      <c r="D37" s="659" t="s">
        <v>221</v>
      </c>
      <c r="E37" s="695"/>
    </row>
    <row r="38" s="670" customFormat="1" ht="37" customHeight="1" spans="1:5">
      <c r="A38" s="693" t="s">
        <v>178</v>
      </c>
      <c r="B38" s="690"/>
      <c r="C38" s="503">
        <v>1</v>
      </c>
      <c r="D38" s="659" t="s">
        <v>222</v>
      </c>
      <c r="E38" s="695"/>
    </row>
    <row r="39" s="670" customFormat="1" ht="37" customHeight="1" spans="1:5">
      <c r="A39" s="693" t="s">
        <v>223</v>
      </c>
      <c r="B39" s="690"/>
      <c r="C39" s="503">
        <v>0.35</v>
      </c>
      <c r="D39" s="503" t="s">
        <v>224</v>
      </c>
      <c r="E39" s="695"/>
    </row>
    <row r="40" s="670" customFormat="1" ht="33" customHeight="1" spans="1:5">
      <c r="A40" s="693" t="s">
        <v>225</v>
      </c>
      <c r="B40" s="690"/>
      <c r="C40" s="503">
        <v>0.35</v>
      </c>
      <c r="D40" s="659" t="s">
        <v>226</v>
      </c>
      <c r="E40" s="695"/>
    </row>
    <row r="41" s="670" customFormat="1" ht="137" customHeight="1" spans="1:5">
      <c r="A41" s="693" t="s">
        <v>227</v>
      </c>
      <c r="B41" s="690"/>
      <c r="C41" s="503">
        <v>1.5</v>
      </c>
      <c r="D41" s="659" t="s">
        <v>228</v>
      </c>
      <c r="E41" s="695"/>
    </row>
    <row r="42" s="670" customFormat="1" ht="43" customHeight="1" spans="1:5">
      <c r="A42" s="693" t="s">
        <v>229</v>
      </c>
      <c r="B42" s="690"/>
      <c r="C42" s="503">
        <v>0.1</v>
      </c>
      <c r="D42" s="659" t="s">
        <v>230</v>
      </c>
      <c r="E42" s="695"/>
    </row>
    <row r="43" s="670" customFormat="1" ht="27" customHeight="1" spans="1:5">
      <c r="A43" s="693" t="s">
        <v>148</v>
      </c>
      <c r="B43" s="690"/>
      <c r="C43" s="503">
        <v>0.3</v>
      </c>
      <c r="D43" s="696" t="s">
        <v>231</v>
      </c>
      <c r="E43" s="695"/>
    </row>
    <row r="44" s="670" customFormat="1" ht="45" customHeight="1" spans="1:5">
      <c r="A44" s="693" t="s">
        <v>232</v>
      </c>
      <c r="B44" s="690"/>
      <c r="C44" s="503">
        <v>1.96</v>
      </c>
      <c r="D44" s="659" t="s">
        <v>233</v>
      </c>
      <c r="E44" s="695"/>
    </row>
    <row r="45" s="670" customFormat="1" ht="45" customHeight="1" spans="1:5">
      <c r="A45" s="693" t="s">
        <v>234</v>
      </c>
      <c r="B45" s="690"/>
      <c r="C45" s="503">
        <v>0.5</v>
      </c>
      <c r="D45" s="659" t="s">
        <v>235</v>
      </c>
      <c r="E45" s="695"/>
    </row>
    <row r="46" s="670" customFormat="1" ht="45" customHeight="1" spans="1:5">
      <c r="A46" s="634" t="s">
        <v>236</v>
      </c>
      <c r="B46" s="690"/>
      <c r="C46" s="503">
        <v>0.2</v>
      </c>
      <c r="D46" s="659" t="s">
        <v>237</v>
      </c>
      <c r="E46" s="695"/>
    </row>
    <row r="47" s="670" customFormat="1" ht="23" customHeight="1" spans="1:5">
      <c r="A47" s="682" t="s">
        <v>167</v>
      </c>
      <c r="B47" s="686"/>
      <c r="C47" s="687">
        <f>SUM(C15:C46)</f>
        <v>24.075</v>
      </c>
      <c r="D47" s="688"/>
      <c r="E47" s="697"/>
    </row>
    <row r="48" s="670" customFormat="1" ht="61" customHeight="1" spans="1:5">
      <c r="A48" s="634" t="s">
        <v>191</v>
      </c>
      <c r="B48" s="698" t="s">
        <v>238</v>
      </c>
      <c r="C48" s="503">
        <v>3</v>
      </c>
      <c r="D48" s="659" t="s">
        <v>239</v>
      </c>
      <c r="E48" s="684" t="s">
        <v>240</v>
      </c>
    </row>
    <row r="49" s="670" customFormat="1" ht="29" customHeight="1" spans="1:5">
      <c r="A49" s="634" t="s">
        <v>168</v>
      </c>
      <c r="B49" s="699"/>
      <c r="C49" s="503">
        <v>1.5</v>
      </c>
      <c r="D49" s="659" t="s">
        <v>241</v>
      </c>
      <c r="E49" s="685"/>
    </row>
    <row r="50" s="670" customFormat="1" ht="40" customHeight="1" spans="1:5">
      <c r="A50" s="634" t="s">
        <v>172</v>
      </c>
      <c r="B50" s="699"/>
      <c r="C50" s="503">
        <v>1.5</v>
      </c>
      <c r="D50" s="659" t="s">
        <v>242</v>
      </c>
      <c r="E50" s="685"/>
    </row>
    <row r="51" s="670" customFormat="1" ht="40" customHeight="1" spans="1:5">
      <c r="A51" s="634" t="s">
        <v>195</v>
      </c>
      <c r="B51" s="699"/>
      <c r="C51" s="503">
        <v>3.2</v>
      </c>
      <c r="D51" s="659" t="s">
        <v>243</v>
      </c>
      <c r="E51" s="685"/>
    </row>
    <row r="52" s="670" customFormat="1" ht="40" customHeight="1" spans="1:5">
      <c r="A52" s="634" t="s">
        <v>244</v>
      </c>
      <c r="B52" s="699"/>
      <c r="C52" s="503">
        <v>0.5</v>
      </c>
      <c r="D52" s="659" t="s">
        <v>245</v>
      </c>
      <c r="E52" s="685"/>
    </row>
    <row r="53" s="670" customFormat="1" ht="75" customHeight="1" spans="1:5">
      <c r="A53" s="634" t="s">
        <v>159</v>
      </c>
      <c r="B53" s="699"/>
      <c r="C53" s="503">
        <v>1.65</v>
      </c>
      <c r="D53" s="659" t="s">
        <v>246</v>
      </c>
      <c r="E53" s="685"/>
    </row>
    <row r="54" s="670" customFormat="1" ht="58" customHeight="1" spans="1:5">
      <c r="A54" s="634" t="s">
        <v>206</v>
      </c>
      <c r="B54" s="699"/>
      <c r="C54" s="503">
        <v>0.5</v>
      </c>
      <c r="D54" s="659" t="s">
        <v>247</v>
      </c>
      <c r="E54" s="685"/>
    </row>
    <row r="55" s="670" customFormat="1" ht="40" customHeight="1" spans="1:5">
      <c r="A55" s="634" t="s">
        <v>165</v>
      </c>
      <c r="B55" s="699"/>
      <c r="C55" s="503">
        <v>0.35</v>
      </c>
      <c r="D55" s="659" t="s">
        <v>248</v>
      </c>
      <c r="E55" s="685"/>
    </row>
    <row r="56" s="670" customFormat="1" ht="89" customHeight="1" spans="1:5">
      <c r="A56" s="634" t="s">
        <v>216</v>
      </c>
      <c r="B56" s="699"/>
      <c r="C56" s="503">
        <v>1</v>
      </c>
      <c r="D56" s="503" t="s">
        <v>249</v>
      </c>
      <c r="E56" s="685"/>
    </row>
    <row r="57" s="670" customFormat="1" ht="37" customHeight="1" spans="1:5">
      <c r="A57" s="634" t="s">
        <v>220</v>
      </c>
      <c r="B57" s="699"/>
      <c r="C57" s="503">
        <v>0.35</v>
      </c>
      <c r="D57" s="659" t="s">
        <v>250</v>
      </c>
      <c r="E57" s="685"/>
    </row>
    <row r="58" s="670" customFormat="1" ht="84" customHeight="1" spans="1:5">
      <c r="A58" s="634" t="s">
        <v>163</v>
      </c>
      <c r="B58" s="699"/>
      <c r="C58" s="503">
        <v>2.5</v>
      </c>
      <c r="D58" s="659" t="s">
        <v>251</v>
      </c>
      <c r="E58" s="685"/>
    </row>
    <row r="59" s="670" customFormat="1" ht="35" customHeight="1" spans="1:5">
      <c r="A59" s="634" t="s">
        <v>252</v>
      </c>
      <c r="B59" s="700"/>
      <c r="C59" s="701">
        <v>3</v>
      </c>
      <c r="D59" s="702" t="s">
        <v>253</v>
      </c>
      <c r="E59" s="685"/>
    </row>
    <row r="60" s="670" customFormat="1" ht="23" customHeight="1" spans="1:5">
      <c r="A60" s="682" t="s">
        <v>167</v>
      </c>
      <c r="B60" s="703"/>
      <c r="C60" s="687">
        <f>SUM(C48:C59)</f>
        <v>19.05</v>
      </c>
      <c r="D60" s="688"/>
      <c r="E60" s="689"/>
    </row>
    <row r="61" s="670" customFormat="1" ht="36" customHeight="1" spans="1:5">
      <c r="A61" s="634" t="s">
        <v>254</v>
      </c>
      <c r="B61" s="690" t="s">
        <v>255</v>
      </c>
      <c r="C61" s="503">
        <v>0.1</v>
      </c>
      <c r="D61" s="659"/>
      <c r="E61" s="704" t="s">
        <v>256</v>
      </c>
    </row>
    <row r="62" s="670" customFormat="1" ht="56" customHeight="1" spans="1:5">
      <c r="A62" s="634" t="s">
        <v>168</v>
      </c>
      <c r="B62" s="690"/>
      <c r="C62" s="503">
        <v>0.07</v>
      </c>
      <c r="D62" s="659" t="s">
        <v>257</v>
      </c>
      <c r="E62" s="704"/>
    </row>
    <row r="63" s="670" customFormat="1" ht="62" customHeight="1" spans="1:5">
      <c r="A63" s="634" t="s">
        <v>172</v>
      </c>
      <c r="B63" s="690"/>
      <c r="C63" s="503">
        <v>0.06</v>
      </c>
      <c r="D63" s="659" t="s">
        <v>258</v>
      </c>
      <c r="E63" s="704"/>
    </row>
    <row r="64" s="670" customFormat="1" ht="36" customHeight="1" spans="1:5">
      <c r="A64" s="634" t="s">
        <v>159</v>
      </c>
      <c r="B64" s="690"/>
      <c r="C64" s="503">
        <v>0.1</v>
      </c>
      <c r="D64" s="634" t="s">
        <v>259</v>
      </c>
      <c r="E64" s="704"/>
    </row>
    <row r="65" s="670" customFormat="1" ht="57" customHeight="1" spans="1:5">
      <c r="A65" s="634" t="s">
        <v>204</v>
      </c>
      <c r="B65" s="690"/>
      <c r="C65" s="503">
        <v>0.015</v>
      </c>
      <c r="D65" s="634" t="s">
        <v>260</v>
      </c>
      <c r="E65" s="704"/>
    </row>
    <row r="66" s="670" customFormat="1" ht="36" customHeight="1" spans="1:5">
      <c r="A66" s="634" t="s">
        <v>206</v>
      </c>
      <c r="B66" s="690"/>
      <c r="C66" s="503">
        <v>0.075</v>
      </c>
      <c r="D66" s="659" t="s">
        <v>261</v>
      </c>
      <c r="E66" s="704"/>
    </row>
    <row r="67" s="670" customFormat="1" ht="49" customHeight="1" spans="1:5">
      <c r="A67" s="634" t="s">
        <v>223</v>
      </c>
      <c r="B67" s="690"/>
      <c r="C67" s="503">
        <v>0.0492</v>
      </c>
      <c r="D67" s="659" t="s">
        <v>262</v>
      </c>
      <c r="E67" s="704"/>
    </row>
    <row r="68" s="670" customFormat="1" ht="36" customHeight="1" spans="1:5">
      <c r="A68" s="634" t="s">
        <v>176</v>
      </c>
      <c r="B68" s="690"/>
      <c r="C68" s="503">
        <v>0.16</v>
      </c>
      <c r="D68" s="659" t="s">
        <v>263</v>
      </c>
      <c r="E68" s="704"/>
    </row>
    <row r="69" s="670" customFormat="1" ht="23" customHeight="1" spans="1:5">
      <c r="A69" s="634" t="s">
        <v>232</v>
      </c>
      <c r="B69" s="690"/>
      <c r="C69" s="503">
        <v>0.0198</v>
      </c>
      <c r="D69" s="659" t="s">
        <v>264</v>
      </c>
      <c r="E69" s="704"/>
    </row>
    <row r="70" s="670" customFormat="1" ht="23" customHeight="1" spans="1:5">
      <c r="A70" s="682" t="s">
        <v>167</v>
      </c>
      <c r="B70" s="703"/>
      <c r="C70" s="687">
        <f>SUM(C61:C69)</f>
        <v>0.649</v>
      </c>
      <c r="D70" s="688"/>
      <c r="E70" s="704"/>
    </row>
    <row r="71" s="670" customFormat="1" ht="27" customHeight="1" spans="1:5">
      <c r="A71" s="634" t="s">
        <v>236</v>
      </c>
      <c r="B71" s="705" t="s">
        <v>265</v>
      </c>
      <c r="C71" s="428">
        <v>5</v>
      </c>
      <c r="D71" s="706" t="s">
        <v>266</v>
      </c>
      <c r="E71" s="707"/>
    </row>
    <row r="72" s="670" customFormat="1" ht="27" customHeight="1" spans="1:5">
      <c r="A72" s="634" t="s">
        <v>236</v>
      </c>
      <c r="B72" s="708" t="s">
        <v>267</v>
      </c>
      <c r="C72" s="428">
        <v>2</v>
      </c>
      <c r="D72" s="706" t="s">
        <v>268</v>
      </c>
      <c r="E72" s="707"/>
    </row>
    <row r="73" s="670" customFormat="1" ht="27" customHeight="1" spans="1:5">
      <c r="A73" s="634" t="s">
        <v>236</v>
      </c>
      <c r="B73" s="708" t="s">
        <v>269</v>
      </c>
      <c r="C73" s="428">
        <v>0.3</v>
      </c>
      <c r="D73" s="706" t="s">
        <v>270</v>
      </c>
      <c r="E73" s="707"/>
    </row>
    <row r="74" s="670" customFormat="1" ht="27" customHeight="1" spans="1:5">
      <c r="A74" s="634" t="s">
        <v>236</v>
      </c>
      <c r="B74" s="708" t="s">
        <v>271</v>
      </c>
      <c r="C74" s="428">
        <v>0.3</v>
      </c>
      <c r="D74" s="706" t="s">
        <v>272</v>
      </c>
      <c r="E74" s="707"/>
    </row>
    <row r="75" s="670" customFormat="1" ht="36" customHeight="1" spans="1:5">
      <c r="A75" s="688" t="s">
        <v>273</v>
      </c>
      <c r="B75" s="709"/>
      <c r="C75" s="687">
        <f>C7+C14+C47+C60+C70+C71+C72+C73+C74</f>
        <v>58.674</v>
      </c>
      <c r="D75" s="688"/>
      <c r="E75" s="710"/>
    </row>
    <row r="76" s="672" customFormat="1" ht="41" hidden="1" customHeight="1" spans="1:5">
      <c r="A76" s="711" t="s">
        <v>140</v>
      </c>
      <c r="B76" s="711"/>
      <c r="C76" s="679" t="s">
        <v>274</v>
      </c>
      <c r="D76" s="679" t="s">
        <v>275</v>
      </c>
      <c r="E76" s="679"/>
    </row>
    <row r="77" s="670" customFormat="1" spans="2:5">
      <c r="B77" s="712"/>
      <c r="C77" s="674"/>
      <c r="D77" s="674"/>
      <c r="E77" s="674"/>
    </row>
    <row r="78" spans="1:4">
      <c r="A78" s="556" t="s">
        <v>76</v>
      </c>
      <c r="B78" s="557" t="s">
        <v>77</v>
      </c>
      <c r="C78" s="558"/>
      <c r="D78" s="558" t="s">
        <v>140</v>
      </c>
    </row>
  </sheetData>
  <mergeCells count="12">
    <mergeCell ref="A1:E1"/>
    <mergeCell ref="A76:B76"/>
    <mergeCell ref="B4:B6"/>
    <mergeCell ref="B8:B13"/>
    <mergeCell ref="B16:B45"/>
    <mergeCell ref="B48:B59"/>
    <mergeCell ref="B61:B69"/>
    <mergeCell ref="E4:E7"/>
    <mergeCell ref="E8:E14"/>
    <mergeCell ref="E16:E47"/>
    <mergeCell ref="E48:E60"/>
    <mergeCell ref="E61:E70"/>
  </mergeCells>
  <pageMargins left="0.393055555555556" right="0.275" top="1" bottom="1" header="0.5" footer="0.5"/>
  <pageSetup paperSize="9" scale="7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1"/>
  <sheetViews>
    <sheetView workbookViewId="0">
      <selection activeCell="A45" sqref="$A45:$XFD45"/>
    </sheetView>
  </sheetViews>
  <sheetFormatPr defaultColWidth="9" defaultRowHeight="14.25" outlineLevelCol="7"/>
  <cols>
    <col min="1" max="1" width="15.75" style="582" customWidth="1"/>
    <col min="2" max="2" width="27.8916666666667" style="583" customWidth="1"/>
    <col min="3" max="3" width="7.375" style="584" customWidth="1"/>
    <col min="4" max="4" width="8.5" style="584" customWidth="1"/>
    <col min="5" max="5" width="12.5" style="585" customWidth="1"/>
    <col min="6" max="6" width="14.2666666666667" style="584" customWidth="1"/>
    <col min="7" max="7" width="21.375" style="586" customWidth="1"/>
    <col min="8" max="8" width="16.375" style="587" customWidth="1"/>
    <col min="9" max="16384" width="9" style="44"/>
  </cols>
  <sheetData>
    <row r="1" s="44" customFormat="1" spans="1:8">
      <c r="A1" s="588" t="s">
        <v>276</v>
      </c>
      <c r="B1" s="589"/>
      <c r="C1" s="589"/>
      <c r="D1" s="589"/>
      <c r="E1" s="589"/>
      <c r="F1" s="589"/>
      <c r="G1" s="589"/>
      <c r="H1" s="590"/>
    </row>
    <row r="2" s="44" customFormat="1" ht="37" customHeight="1" spans="1:8">
      <c r="A2" s="591"/>
      <c r="B2" s="591"/>
      <c r="C2" s="591"/>
      <c r="D2" s="591"/>
      <c r="E2" s="591"/>
      <c r="F2" s="591"/>
      <c r="G2" s="591"/>
      <c r="H2" s="592"/>
    </row>
    <row r="3" s="44" customFormat="1" ht="48" customHeight="1" spans="1:8">
      <c r="A3" s="593" t="s">
        <v>277</v>
      </c>
      <c r="B3" s="594" t="s">
        <v>278</v>
      </c>
      <c r="C3" s="593" t="s">
        <v>279</v>
      </c>
      <c r="D3" s="595" t="s">
        <v>280</v>
      </c>
      <c r="E3" s="596" t="s">
        <v>281</v>
      </c>
      <c r="F3" s="597" t="s">
        <v>282</v>
      </c>
      <c r="G3" s="598" t="s">
        <v>144</v>
      </c>
      <c r="H3" s="599" t="s">
        <v>57</v>
      </c>
    </row>
    <row r="4" s="44" customFormat="1" ht="20.25" spans="1:8">
      <c r="A4" s="600"/>
      <c r="B4" s="601" t="s">
        <v>34</v>
      </c>
      <c r="C4" s="602"/>
      <c r="D4" s="603"/>
      <c r="E4" s="604"/>
      <c r="F4" s="605"/>
      <c r="G4" s="606"/>
      <c r="H4" s="607">
        <f>H5+H26+H30+H35</f>
        <v>1816.86</v>
      </c>
    </row>
    <row r="5" s="44" customFormat="1" ht="30" customHeight="1" spans="1:8">
      <c r="A5" s="608"/>
      <c r="B5" s="609" t="s">
        <v>283</v>
      </c>
      <c r="C5" s="610"/>
      <c r="D5" s="611"/>
      <c r="E5" s="612"/>
      <c r="F5" s="613"/>
      <c r="G5" s="614"/>
      <c r="H5" s="615">
        <f>H6+H11+H12</f>
        <v>820.06</v>
      </c>
    </row>
    <row r="6" s="44" customFormat="1" ht="22" customHeight="1" spans="1:8">
      <c r="A6" s="616" t="s">
        <v>284</v>
      </c>
      <c r="B6" s="617" t="s">
        <v>285</v>
      </c>
      <c r="C6" s="618">
        <v>1</v>
      </c>
      <c r="D6" s="619" t="s">
        <v>286</v>
      </c>
      <c r="E6" s="620">
        <v>100000</v>
      </c>
      <c r="F6" s="621">
        <f>SUM(C6*E6)</f>
        <v>100000</v>
      </c>
      <c r="G6" s="622" t="s">
        <v>287</v>
      </c>
      <c r="H6" s="623">
        <v>28.75</v>
      </c>
    </row>
    <row r="7" s="581" customFormat="1" ht="22" customHeight="1" spans="1:8">
      <c r="A7" s="624" t="s">
        <v>288</v>
      </c>
      <c r="B7" s="625" t="s">
        <v>289</v>
      </c>
      <c r="C7" s="626">
        <v>1</v>
      </c>
      <c r="D7" s="627" t="s">
        <v>286</v>
      </c>
      <c r="E7" s="628">
        <v>100000</v>
      </c>
      <c r="F7" s="629">
        <f>SUM(C7*E7)</f>
        <v>100000</v>
      </c>
      <c r="G7" s="630" t="s">
        <v>287</v>
      </c>
      <c r="H7" s="631"/>
    </row>
    <row r="8" s="581" customFormat="1" ht="22" customHeight="1" spans="1:8">
      <c r="A8" s="632"/>
      <c r="B8" s="617" t="s">
        <v>290</v>
      </c>
      <c r="C8" s="626">
        <v>1</v>
      </c>
      <c r="D8" s="627" t="s">
        <v>291</v>
      </c>
      <c r="E8" s="628">
        <v>6000</v>
      </c>
      <c r="F8" s="629">
        <v>6000</v>
      </c>
      <c r="G8" s="630"/>
      <c r="H8" s="631"/>
    </row>
    <row r="9" s="581" customFormat="1" ht="22" customHeight="1" spans="1:8">
      <c r="A9" s="632"/>
      <c r="B9" s="617" t="s">
        <v>292</v>
      </c>
      <c r="C9" s="626">
        <v>1</v>
      </c>
      <c r="D9" s="627" t="s">
        <v>291</v>
      </c>
      <c r="E9" s="628">
        <v>1500</v>
      </c>
      <c r="F9" s="629">
        <v>1500</v>
      </c>
      <c r="G9" s="630"/>
      <c r="H9" s="631"/>
    </row>
    <row r="10" s="581" customFormat="1" ht="22" customHeight="1" spans="1:8">
      <c r="A10" s="633"/>
      <c r="B10" s="634" t="s">
        <v>293</v>
      </c>
      <c r="C10" s="635">
        <v>1</v>
      </c>
      <c r="D10" s="627" t="s">
        <v>286</v>
      </c>
      <c r="E10" s="636">
        <v>80000</v>
      </c>
      <c r="F10" s="629">
        <f>SUM(C10*E10)</f>
        <v>80000</v>
      </c>
      <c r="G10" s="630" t="s">
        <v>287</v>
      </c>
      <c r="H10" s="631"/>
    </row>
    <row r="11" s="44" customFormat="1" ht="39" customHeight="1" spans="1:8">
      <c r="A11" s="637" t="s">
        <v>294</v>
      </c>
      <c r="B11" s="630" t="s">
        <v>295</v>
      </c>
      <c r="C11" s="635">
        <v>1</v>
      </c>
      <c r="D11" s="627" t="s">
        <v>286</v>
      </c>
      <c r="E11" s="636">
        <v>50000</v>
      </c>
      <c r="F11" s="629">
        <f>SUM(C11*E11)</f>
        <v>50000</v>
      </c>
      <c r="G11" s="630" t="s">
        <v>296</v>
      </c>
      <c r="H11" s="623">
        <f>F11/10000</f>
        <v>5</v>
      </c>
    </row>
    <row r="12" s="44" customFormat="1" ht="22" customHeight="1" spans="1:8">
      <c r="A12" s="638" t="s">
        <v>297</v>
      </c>
      <c r="B12" s="634" t="s">
        <v>298</v>
      </c>
      <c r="C12" s="639">
        <v>1</v>
      </c>
      <c r="D12" s="640" t="s">
        <v>299</v>
      </c>
      <c r="E12" s="549">
        <v>170000</v>
      </c>
      <c r="F12" s="621">
        <f>SUM(C12*E12)</f>
        <v>170000</v>
      </c>
      <c r="G12" s="634" t="s">
        <v>300</v>
      </c>
      <c r="H12" s="641">
        <f>SUM(F12:F25)/10000-3.19</f>
        <v>786.31</v>
      </c>
    </row>
    <row r="13" s="44" customFormat="1" ht="22" customHeight="1" spans="1:8">
      <c r="A13" s="642"/>
      <c r="B13" s="634" t="s">
        <v>301</v>
      </c>
      <c r="C13" s="639">
        <v>1</v>
      </c>
      <c r="D13" s="640" t="s">
        <v>299</v>
      </c>
      <c r="E13" s="549">
        <v>100000</v>
      </c>
      <c r="F13" s="621">
        <v>100000</v>
      </c>
      <c r="G13" s="634" t="s">
        <v>302</v>
      </c>
      <c r="H13" s="641"/>
    </row>
    <row r="14" s="44" customFormat="1" ht="22" customHeight="1" spans="1:8">
      <c r="A14" s="642"/>
      <c r="B14" s="634" t="s">
        <v>303</v>
      </c>
      <c r="C14" s="639">
        <v>1</v>
      </c>
      <c r="D14" s="640" t="s">
        <v>299</v>
      </c>
      <c r="E14" s="549">
        <v>40000</v>
      </c>
      <c r="F14" s="621">
        <f t="shared" ref="F14:F25" si="0">SUM(C14*E14)</f>
        <v>40000</v>
      </c>
      <c r="G14" s="634" t="s">
        <v>304</v>
      </c>
      <c r="H14" s="641"/>
    </row>
    <row r="15" s="44" customFormat="1" ht="22" customHeight="1" spans="1:8">
      <c r="A15" s="642"/>
      <c r="B15" s="634" t="s">
        <v>305</v>
      </c>
      <c r="C15" s="639">
        <v>1</v>
      </c>
      <c r="D15" s="640" t="s">
        <v>299</v>
      </c>
      <c r="E15" s="549">
        <v>170000</v>
      </c>
      <c r="F15" s="621">
        <f t="shared" si="0"/>
        <v>170000</v>
      </c>
      <c r="G15" s="634" t="s">
        <v>306</v>
      </c>
      <c r="H15" s="641"/>
    </row>
    <row r="16" s="44" customFormat="1" ht="22" customHeight="1" spans="1:8">
      <c r="A16" s="642"/>
      <c r="B16" s="634" t="s">
        <v>307</v>
      </c>
      <c r="C16" s="639">
        <v>1</v>
      </c>
      <c r="D16" s="640" t="s">
        <v>299</v>
      </c>
      <c r="E16" s="549">
        <v>250000</v>
      </c>
      <c r="F16" s="621">
        <f t="shared" si="0"/>
        <v>250000</v>
      </c>
      <c r="G16" s="634" t="s">
        <v>308</v>
      </c>
      <c r="H16" s="641"/>
    </row>
    <row r="17" s="44" customFormat="1" ht="22" customHeight="1" spans="1:8">
      <c r="A17" s="642"/>
      <c r="B17" s="634" t="s">
        <v>309</v>
      </c>
      <c r="C17" s="639">
        <v>1</v>
      </c>
      <c r="D17" s="640" t="s">
        <v>299</v>
      </c>
      <c r="E17" s="549">
        <v>70000</v>
      </c>
      <c r="F17" s="621">
        <f t="shared" si="0"/>
        <v>70000</v>
      </c>
      <c r="G17" s="634"/>
      <c r="H17" s="641"/>
    </row>
    <row r="18" s="44" customFormat="1" ht="22" customHeight="1" spans="1:8">
      <c r="A18" s="642"/>
      <c r="B18" s="634" t="s">
        <v>310</v>
      </c>
      <c r="C18" s="639">
        <v>1</v>
      </c>
      <c r="D18" s="640" t="s">
        <v>299</v>
      </c>
      <c r="E18" s="549">
        <v>50000</v>
      </c>
      <c r="F18" s="621">
        <f t="shared" si="0"/>
        <v>50000</v>
      </c>
      <c r="G18" s="634"/>
      <c r="H18" s="641"/>
    </row>
    <row r="19" s="44" customFormat="1" ht="22" customHeight="1" spans="1:8">
      <c r="A19" s="642"/>
      <c r="B19" s="634" t="s">
        <v>311</v>
      </c>
      <c r="C19" s="639">
        <v>1</v>
      </c>
      <c r="D19" s="640" t="s">
        <v>299</v>
      </c>
      <c r="E19" s="549">
        <v>100000</v>
      </c>
      <c r="F19" s="621">
        <f t="shared" si="0"/>
        <v>100000</v>
      </c>
      <c r="G19" s="634"/>
      <c r="H19" s="641"/>
    </row>
    <row r="20" s="44" customFormat="1" ht="22" customHeight="1" spans="1:8">
      <c r="A20" s="642"/>
      <c r="B20" s="634" t="s">
        <v>312</v>
      </c>
      <c r="C20" s="639">
        <v>1</v>
      </c>
      <c r="D20" s="640" t="s">
        <v>299</v>
      </c>
      <c r="E20" s="549">
        <v>25000</v>
      </c>
      <c r="F20" s="621">
        <f t="shared" si="0"/>
        <v>25000</v>
      </c>
      <c r="G20" s="634"/>
      <c r="H20" s="641"/>
    </row>
    <row r="21" s="44" customFormat="1" ht="22" customHeight="1" spans="1:8">
      <c r="A21" s="642"/>
      <c r="B21" s="634" t="s">
        <v>313</v>
      </c>
      <c r="C21" s="639">
        <v>1</v>
      </c>
      <c r="D21" s="640" t="s">
        <v>299</v>
      </c>
      <c r="E21" s="549">
        <v>220000</v>
      </c>
      <c r="F21" s="621">
        <f t="shared" si="0"/>
        <v>220000</v>
      </c>
      <c r="G21" s="634"/>
      <c r="H21" s="641"/>
    </row>
    <row r="22" s="44" customFormat="1" ht="22" customHeight="1" spans="1:8">
      <c r="A22" s="642"/>
      <c r="B22" s="634" t="s">
        <v>314</v>
      </c>
      <c r="C22" s="639">
        <v>1</v>
      </c>
      <c r="D22" s="640" t="s">
        <v>299</v>
      </c>
      <c r="E22" s="549">
        <v>30000</v>
      </c>
      <c r="F22" s="621">
        <f t="shared" si="0"/>
        <v>30000</v>
      </c>
      <c r="G22" s="634"/>
      <c r="H22" s="641"/>
    </row>
    <row r="23" s="44" customFormat="1" ht="22" customHeight="1" spans="1:8">
      <c r="A23" s="642"/>
      <c r="B23" s="634" t="s">
        <v>315</v>
      </c>
      <c r="C23" s="640">
        <v>1</v>
      </c>
      <c r="D23" s="640" t="s">
        <v>299</v>
      </c>
      <c r="E23" s="549">
        <v>270000</v>
      </c>
      <c r="F23" s="621">
        <f t="shared" si="0"/>
        <v>270000</v>
      </c>
      <c r="G23" s="634"/>
      <c r="H23" s="641"/>
    </row>
    <row r="24" s="44" customFormat="1" ht="22" customHeight="1" spans="1:8">
      <c r="A24" s="642"/>
      <c r="B24" s="634" t="s">
        <v>316</v>
      </c>
      <c r="C24" s="639">
        <v>1</v>
      </c>
      <c r="D24" s="640" t="s">
        <v>299</v>
      </c>
      <c r="E24" s="549">
        <v>4400000</v>
      </c>
      <c r="F24" s="621">
        <f t="shared" si="0"/>
        <v>4400000</v>
      </c>
      <c r="G24" s="634"/>
      <c r="H24" s="641"/>
    </row>
    <row r="25" s="44" customFormat="1" ht="22" customHeight="1" spans="1:8">
      <c r="A25" s="643"/>
      <c r="B25" s="634" t="s">
        <v>317</v>
      </c>
      <c r="C25" s="639">
        <v>1</v>
      </c>
      <c r="D25" s="640" t="s">
        <v>299</v>
      </c>
      <c r="E25" s="549">
        <v>2000000</v>
      </c>
      <c r="F25" s="621">
        <f t="shared" si="0"/>
        <v>2000000</v>
      </c>
      <c r="G25" s="634"/>
      <c r="H25" s="644"/>
    </row>
    <row r="26" s="44" customFormat="1" ht="22" customHeight="1" spans="1:8">
      <c r="A26" s="645" t="s">
        <v>318</v>
      </c>
      <c r="B26" s="646" t="s">
        <v>319</v>
      </c>
      <c r="C26" s="647" t="s">
        <v>34</v>
      </c>
      <c r="D26" s="639"/>
      <c r="E26" s="549"/>
      <c r="F26" s="621"/>
      <c r="G26" s="634"/>
      <c r="H26" s="648">
        <f>SUM(F26:F29)/10000</f>
        <v>925</v>
      </c>
    </row>
    <row r="27" s="44" customFormat="1" ht="22" customHeight="1" spans="1:8">
      <c r="A27" s="649"/>
      <c r="B27" s="634" t="s">
        <v>320</v>
      </c>
      <c r="C27" s="639">
        <v>1</v>
      </c>
      <c r="D27" s="640" t="s">
        <v>286</v>
      </c>
      <c r="E27" s="549">
        <v>800000</v>
      </c>
      <c r="F27" s="621">
        <f t="shared" ref="F27:F29" si="1">SUM(C27*E27)</f>
        <v>800000</v>
      </c>
      <c r="G27" s="634"/>
      <c r="H27" s="650">
        <f>SUM(F27:F29)/10000</f>
        <v>925</v>
      </c>
    </row>
    <row r="28" s="44" customFormat="1" ht="22" customHeight="1" spans="1:8">
      <c r="A28" s="649"/>
      <c r="B28" s="634" t="s">
        <v>321</v>
      </c>
      <c r="C28" s="639">
        <v>1</v>
      </c>
      <c r="D28" s="640" t="s">
        <v>286</v>
      </c>
      <c r="E28" s="549">
        <v>450000</v>
      </c>
      <c r="F28" s="621">
        <f t="shared" si="1"/>
        <v>450000</v>
      </c>
      <c r="G28" s="634"/>
      <c r="H28" s="650"/>
    </row>
    <row r="29" s="44" customFormat="1" ht="22" customHeight="1" spans="1:8">
      <c r="A29" s="651"/>
      <c r="B29" s="634" t="s">
        <v>322</v>
      </c>
      <c r="C29" s="639">
        <v>1</v>
      </c>
      <c r="D29" s="640" t="s">
        <v>286</v>
      </c>
      <c r="E29" s="549">
        <v>8000000</v>
      </c>
      <c r="F29" s="621">
        <f t="shared" si="1"/>
        <v>8000000</v>
      </c>
      <c r="G29" s="652"/>
      <c r="H29" s="653"/>
    </row>
    <row r="30" s="44" customFormat="1" ht="22" customHeight="1" spans="1:8">
      <c r="A30" s="654" t="s">
        <v>323</v>
      </c>
      <c r="B30" s="646" t="s">
        <v>324</v>
      </c>
      <c r="C30" s="639"/>
      <c r="D30" s="640"/>
      <c r="E30" s="549"/>
      <c r="F30" s="621"/>
      <c r="G30" s="634"/>
      <c r="H30" s="648">
        <f>SUM(F30:F34)/10000*0.7</f>
        <v>16.8</v>
      </c>
    </row>
    <row r="31" s="44" customFormat="1" ht="22" customHeight="1" spans="1:8">
      <c r="A31" s="654"/>
      <c r="B31" s="634" t="s">
        <v>325</v>
      </c>
      <c r="C31" s="639">
        <v>1</v>
      </c>
      <c r="D31" s="640" t="s">
        <v>299</v>
      </c>
      <c r="E31" s="549">
        <v>70000</v>
      </c>
      <c r="F31" s="621">
        <f t="shared" ref="F31:F34" si="2">SUM(C31*E31)</f>
        <v>70000</v>
      </c>
      <c r="G31" s="634" t="s">
        <v>326</v>
      </c>
      <c r="H31" s="655">
        <f>SUM(F31:F34)/10000*0.7</f>
        <v>16.8</v>
      </c>
    </row>
    <row r="32" s="44" customFormat="1" ht="22" customHeight="1" spans="1:8">
      <c r="A32" s="654"/>
      <c r="B32" s="634" t="s">
        <v>327</v>
      </c>
      <c r="C32" s="639">
        <v>1</v>
      </c>
      <c r="D32" s="640" t="s">
        <v>299</v>
      </c>
      <c r="E32" s="549">
        <v>50000</v>
      </c>
      <c r="F32" s="621">
        <f t="shared" si="2"/>
        <v>50000</v>
      </c>
      <c r="G32" s="634"/>
      <c r="H32" s="656"/>
    </row>
    <row r="33" s="44" customFormat="1" ht="22" customHeight="1" spans="1:8">
      <c r="A33" s="654"/>
      <c r="B33" s="634" t="s">
        <v>328</v>
      </c>
      <c r="C33" s="639">
        <v>1</v>
      </c>
      <c r="D33" s="640" t="s">
        <v>286</v>
      </c>
      <c r="E33" s="549">
        <v>70000</v>
      </c>
      <c r="F33" s="621">
        <f t="shared" si="2"/>
        <v>70000</v>
      </c>
      <c r="G33" s="634"/>
      <c r="H33" s="656"/>
    </row>
    <row r="34" s="44" customFormat="1" ht="22" customHeight="1" spans="1:8">
      <c r="A34" s="654"/>
      <c r="B34" s="634" t="s">
        <v>329</v>
      </c>
      <c r="C34" s="639">
        <v>1</v>
      </c>
      <c r="D34" s="640" t="s">
        <v>286</v>
      </c>
      <c r="E34" s="549">
        <v>50000</v>
      </c>
      <c r="F34" s="621">
        <f t="shared" si="2"/>
        <v>50000</v>
      </c>
      <c r="G34" s="634"/>
      <c r="H34" s="657"/>
    </row>
    <row r="35" s="44" customFormat="1" ht="22" customHeight="1" spans="1:8">
      <c r="A35" s="654"/>
      <c r="B35" s="646" t="s">
        <v>330</v>
      </c>
      <c r="C35" s="639"/>
      <c r="D35" s="640"/>
      <c r="E35" s="549"/>
      <c r="F35" s="621"/>
      <c r="G35" s="634"/>
      <c r="H35" s="648">
        <f>SUM(F36:F43)/10000</f>
        <v>55</v>
      </c>
    </row>
    <row r="36" s="44" customFormat="1" ht="22" customHeight="1" spans="1:8">
      <c r="A36" s="658" t="s">
        <v>331</v>
      </c>
      <c r="B36" s="659" t="s">
        <v>332</v>
      </c>
      <c r="C36" s="640">
        <v>1</v>
      </c>
      <c r="D36" s="640" t="s">
        <v>286</v>
      </c>
      <c r="E36" s="549">
        <v>50000</v>
      </c>
      <c r="F36" s="621">
        <f>SUM(C36*E36)</f>
        <v>50000</v>
      </c>
      <c r="G36" s="634" t="s">
        <v>333</v>
      </c>
      <c r="H36" s="660">
        <f>H35</f>
        <v>55</v>
      </c>
    </row>
    <row r="37" s="44" customFormat="1" ht="22" customHeight="1" spans="1:8">
      <c r="A37" s="661"/>
      <c r="B37" s="659" t="s">
        <v>334</v>
      </c>
      <c r="C37" s="640">
        <v>1</v>
      </c>
      <c r="D37" s="640" t="s">
        <v>286</v>
      </c>
      <c r="E37" s="549">
        <f>350000+3375+10000+2095+1280</f>
        <v>366750</v>
      </c>
      <c r="F37" s="621">
        <v>200000</v>
      </c>
      <c r="G37" s="634"/>
      <c r="H37" s="662"/>
    </row>
    <row r="38" s="44" customFormat="1" ht="22" customHeight="1" spans="1:8">
      <c r="A38" s="661"/>
      <c r="B38" s="659" t="s">
        <v>335</v>
      </c>
      <c r="C38" s="640">
        <v>1</v>
      </c>
      <c r="D38" s="640" t="s">
        <v>286</v>
      </c>
      <c r="E38" s="549">
        <v>100000</v>
      </c>
      <c r="F38" s="621">
        <v>20000</v>
      </c>
      <c r="G38" s="634"/>
      <c r="H38" s="662"/>
    </row>
    <row r="39" s="44" customFormat="1" ht="22" customHeight="1" spans="1:8">
      <c r="A39" s="661"/>
      <c r="B39" s="659" t="s">
        <v>336</v>
      </c>
      <c r="C39" s="640">
        <v>1</v>
      </c>
      <c r="D39" s="640" t="s">
        <v>286</v>
      </c>
      <c r="E39" s="549">
        <v>80000</v>
      </c>
      <c r="F39" s="621">
        <v>50000</v>
      </c>
      <c r="G39" s="634"/>
      <c r="H39" s="662"/>
    </row>
    <row r="40" s="44" customFormat="1" ht="22" customHeight="1" spans="1:8">
      <c r="A40" s="661"/>
      <c r="B40" s="659" t="s">
        <v>337</v>
      </c>
      <c r="C40" s="640">
        <v>1</v>
      </c>
      <c r="D40" s="640" t="s">
        <v>286</v>
      </c>
      <c r="E40" s="549">
        <v>30000</v>
      </c>
      <c r="F40" s="621">
        <v>20000</v>
      </c>
      <c r="G40" s="634"/>
      <c r="H40" s="662"/>
    </row>
    <row r="41" s="44" customFormat="1" ht="22" customHeight="1" spans="1:8">
      <c r="A41" s="661"/>
      <c r="B41" s="659" t="s">
        <v>338</v>
      </c>
      <c r="C41" s="640">
        <v>1</v>
      </c>
      <c r="D41" s="640" t="s">
        <v>286</v>
      </c>
      <c r="E41" s="549">
        <v>250000</v>
      </c>
      <c r="F41" s="621">
        <v>100000</v>
      </c>
      <c r="G41" s="634"/>
      <c r="H41" s="662"/>
    </row>
    <row r="42" s="44" customFormat="1" ht="22" customHeight="1" spans="1:8">
      <c r="A42" s="661"/>
      <c r="B42" s="659" t="s">
        <v>339</v>
      </c>
      <c r="C42" s="640">
        <v>1</v>
      </c>
      <c r="D42" s="640" t="s">
        <v>286</v>
      </c>
      <c r="E42" s="549">
        <v>30000</v>
      </c>
      <c r="F42" s="621">
        <v>10000</v>
      </c>
      <c r="G42" s="634"/>
      <c r="H42" s="662"/>
    </row>
    <row r="43" s="44" customFormat="1" ht="22" customHeight="1" spans="1:8">
      <c r="A43" s="663"/>
      <c r="B43" s="659" t="s">
        <v>340</v>
      </c>
      <c r="C43" s="640"/>
      <c r="D43" s="640"/>
      <c r="E43" s="621">
        <v>280962</v>
      </c>
      <c r="F43" s="621">
        <v>100000</v>
      </c>
      <c r="G43" s="634"/>
      <c r="H43" s="664"/>
    </row>
    <row r="44" s="44" customFormat="1" spans="1:8">
      <c r="A44" s="665"/>
      <c r="D44" s="666"/>
      <c r="E44" s="667"/>
      <c r="G44" s="489"/>
      <c r="H44" s="668"/>
    </row>
    <row r="45" s="44" customFormat="1" spans="1:8">
      <c r="A45" s="582"/>
      <c r="B45" s="44" t="s">
        <v>76</v>
      </c>
      <c r="C45" s="44" t="s">
        <v>77</v>
      </c>
      <c r="D45" s="669"/>
      <c r="E45" s="452" t="s">
        <v>78</v>
      </c>
      <c r="G45" s="489" t="s">
        <v>341</v>
      </c>
      <c r="H45" s="587"/>
    </row>
    <row r="46" s="44" customFormat="1" spans="1:8">
      <c r="A46" s="582"/>
      <c r="B46" s="583"/>
      <c r="C46" s="584"/>
      <c r="D46" s="584"/>
      <c r="E46" s="585"/>
      <c r="F46" s="584"/>
      <c r="G46" s="586"/>
      <c r="H46" s="587"/>
    </row>
    <row r="47" s="44" customFormat="1" spans="1:8">
      <c r="A47" s="582"/>
      <c r="B47" s="583"/>
      <c r="C47" s="584"/>
      <c r="D47" s="584"/>
      <c r="E47" s="585"/>
      <c r="F47" s="584"/>
      <c r="G47" s="586"/>
      <c r="H47" s="587"/>
    </row>
    <row r="48" s="44" customFormat="1" spans="1:8">
      <c r="A48" s="582"/>
      <c r="B48" s="583"/>
      <c r="C48" s="584"/>
      <c r="D48" s="584"/>
      <c r="E48" s="585"/>
      <c r="F48" s="584"/>
      <c r="G48" s="586"/>
      <c r="H48" s="587"/>
    </row>
    <row r="49" s="44" customFormat="1" ht="24" customHeight="1" spans="1:8">
      <c r="A49" s="582"/>
      <c r="B49" s="583"/>
      <c r="C49" s="584"/>
      <c r="D49" s="584"/>
      <c r="E49" s="585"/>
      <c r="F49" s="584"/>
      <c r="G49" s="586"/>
      <c r="H49" s="587"/>
    </row>
    <row r="50" s="44" customFormat="1" spans="1:8">
      <c r="A50" s="582"/>
      <c r="B50" s="583"/>
      <c r="C50" s="584"/>
      <c r="D50" s="584"/>
      <c r="E50" s="585"/>
      <c r="F50" s="584"/>
      <c r="G50" s="586"/>
      <c r="H50" s="587"/>
    </row>
    <row r="51" s="44" customFormat="1" spans="1:8">
      <c r="A51" s="582"/>
      <c r="B51" s="583"/>
      <c r="C51" s="584"/>
      <c r="D51" s="584"/>
      <c r="E51" s="585"/>
      <c r="F51" s="584"/>
      <c r="G51" s="586"/>
      <c r="H51" s="587"/>
    </row>
    <row r="52" s="44" customFormat="1" spans="1:8">
      <c r="A52" s="582"/>
      <c r="B52" s="583"/>
      <c r="C52" s="584"/>
      <c r="D52" s="584"/>
      <c r="E52" s="585"/>
      <c r="F52" s="584"/>
      <c r="G52" s="586"/>
      <c r="H52" s="587"/>
    </row>
    <row r="53" s="44" customFormat="1" spans="1:8">
      <c r="A53" s="582"/>
      <c r="B53" s="583"/>
      <c r="C53" s="584"/>
      <c r="D53" s="584"/>
      <c r="E53" s="585"/>
      <c r="F53" s="584"/>
      <c r="G53" s="586"/>
      <c r="H53" s="587"/>
    </row>
    <row r="54" s="44" customFormat="1" spans="1:8">
      <c r="A54" s="582"/>
      <c r="B54" s="583"/>
      <c r="C54" s="584"/>
      <c r="D54" s="584"/>
      <c r="E54" s="585"/>
      <c r="F54" s="584"/>
      <c r="G54" s="586"/>
      <c r="H54" s="587"/>
    </row>
    <row r="55" s="44" customFormat="1" spans="1:8">
      <c r="A55" s="582"/>
      <c r="B55" s="583"/>
      <c r="C55" s="584"/>
      <c r="D55" s="584"/>
      <c r="E55" s="585"/>
      <c r="F55" s="584"/>
      <c r="G55" s="586"/>
      <c r="H55" s="587"/>
    </row>
    <row r="56" s="44" customFormat="1" spans="1:8">
      <c r="A56" s="582"/>
      <c r="B56" s="583"/>
      <c r="C56" s="584"/>
      <c r="D56" s="584"/>
      <c r="E56" s="585"/>
      <c r="F56" s="584"/>
      <c r="G56" s="586"/>
      <c r="H56" s="587"/>
    </row>
    <row r="57" s="44" customFormat="1" spans="1:8">
      <c r="A57" s="582"/>
      <c r="B57" s="583"/>
      <c r="C57" s="584"/>
      <c r="D57" s="584"/>
      <c r="E57" s="585"/>
      <c r="F57" s="584"/>
      <c r="G57" s="586"/>
      <c r="H57" s="587"/>
    </row>
    <row r="58" s="44" customFormat="1" spans="1:8">
      <c r="A58" s="582"/>
      <c r="B58" s="583"/>
      <c r="C58" s="584"/>
      <c r="D58" s="584"/>
      <c r="E58" s="585"/>
      <c r="F58" s="584"/>
      <c r="G58" s="586"/>
      <c r="H58" s="587"/>
    </row>
    <row r="59" s="44" customFormat="1" spans="1:8">
      <c r="A59" s="582"/>
      <c r="B59" s="583"/>
      <c r="C59" s="584"/>
      <c r="D59" s="584"/>
      <c r="E59" s="585"/>
      <c r="F59" s="584"/>
      <c r="G59" s="586"/>
      <c r="H59" s="587"/>
    </row>
    <row r="60" s="44" customFormat="1" spans="1:8">
      <c r="A60" s="582"/>
      <c r="B60" s="583"/>
      <c r="C60" s="584"/>
      <c r="D60" s="584"/>
      <c r="E60" s="585"/>
      <c r="F60" s="584"/>
      <c r="G60" s="586"/>
      <c r="H60" s="587"/>
    </row>
    <row r="61" s="44" customFormat="1" spans="1:8">
      <c r="A61" s="582"/>
      <c r="B61" s="583"/>
      <c r="C61" s="584"/>
      <c r="D61" s="584"/>
      <c r="E61" s="585"/>
      <c r="F61" s="584"/>
      <c r="G61" s="586"/>
      <c r="H61" s="587"/>
    </row>
    <row r="62" s="44" customFormat="1" spans="1:8">
      <c r="A62" s="582"/>
      <c r="B62" s="583"/>
      <c r="C62" s="584"/>
      <c r="D62" s="584"/>
      <c r="E62" s="585"/>
      <c r="F62" s="584"/>
      <c r="G62" s="586"/>
      <c r="H62" s="587"/>
    </row>
    <row r="63" s="44" customFormat="1" spans="1:8">
      <c r="A63" s="582"/>
      <c r="B63" s="583"/>
      <c r="C63" s="584"/>
      <c r="D63" s="584"/>
      <c r="E63" s="585"/>
      <c r="F63" s="584"/>
      <c r="G63" s="586"/>
      <c r="H63" s="587"/>
    </row>
    <row r="64" s="44" customFormat="1" spans="1:8">
      <c r="A64" s="582"/>
      <c r="B64" s="583"/>
      <c r="C64" s="584"/>
      <c r="D64" s="584"/>
      <c r="E64" s="585"/>
      <c r="F64" s="584"/>
      <c r="G64" s="586"/>
      <c r="H64" s="587"/>
    </row>
    <row r="65" s="44" customFormat="1" spans="1:8">
      <c r="A65" s="582"/>
      <c r="B65" s="583"/>
      <c r="C65" s="584"/>
      <c r="D65" s="584"/>
      <c r="E65" s="585"/>
      <c r="F65" s="584"/>
      <c r="G65" s="586"/>
      <c r="H65" s="587"/>
    </row>
    <row r="66" s="44" customFormat="1" spans="1:8">
      <c r="A66" s="582"/>
      <c r="B66" s="583"/>
      <c r="C66" s="584"/>
      <c r="D66" s="584"/>
      <c r="E66" s="585"/>
      <c r="F66" s="584"/>
      <c r="G66" s="586"/>
      <c r="H66" s="587"/>
    </row>
    <row r="67" s="44" customFormat="1" spans="1:8">
      <c r="A67" s="582"/>
      <c r="B67" s="583"/>
      <c r="C67" s="584"/>
      <c r="D67" s="584"/>
      <c r="E67" s="585"/>
      <c r="F67" s="584"/>
      <c r="G67" s="586"/>
      <c r="H67" s="587"/>
    </row>
    <row r="68" s="44" customFormat="1" spans="1:8">
      <c r="A68" s="582"/>
      <c r="B68" s="583"/>
      <c r="C68" s="584"/>
      <c r="D68" s="584"/>
      <c r="E68" s="585"/>
      <c r="F68" s="584"/>
      <c r="G68" s="586"/>
      <c r="H68" s="587"/>
    </row>
    <row r="69" s="44" customFormat="1" spans="1:8">
      <c r="A69" s="582"/>
      <c r="B69" s="583"/>
      <c r="C69" s="584"/>
      <c r="D69" s="584"/>
      <c r="E69" s="585"/>
      <c r="F69" s="584"/>
      <c r="G69" s="586"/>
      <c r="H69" s="587"/>
    </row>
    <row r="70" s="44" customFormat="1" spans="1:8">
      <c r="A70" s="582"/>
      <c r="B70" s="583"/>
      <c r="C70" s="584"/>
      <c r="D70" s="584"/>
      <c r="E70" s="585"/>
      <c r="F70" s="584"/>
      <c r="G70" s="586"/>
      <c r="H70" s="587"/>
    </row>
    <row r="71" s="44" customFormat="1" spans="1:8">
      <c r="A71" s="582"/>
      <c r="B71" s="583"/>
      <c r="C71" s="584"/>
      <c r="D71" s="584"/>
      <c r="E71" s="585"/>
      <c r="F71" s="584"/>
      <c r="G71" s="586"/>
      <c r="H71" s="587"/>
    </row>
    <row r="72" s="44" customFormat="1" spans="1:8">
      <c r="A72" s="582"/>
      <c r="B72" s="583"/>
      <c r="C72" s="584"/>
      <c r="D72" s="584"/>
      <c r="E72" s="585"/>
      <c r="F72" s="584"/>
      <c r="G72" s="586"/>
      <c r="H72" s="587"/>
    </row>
    <row r="73" s="44" customFormat="1" spans="1:8">
      <c r="A73" s="582"/>
      <c r="B73" s="583"/>
      <c r="C73" s="584"/>
      <c r="D73" s="584"/>
      <c r="E73" s="585"/>
      <c r="F73" s="584"/>
      <c r="G73" s="586"/>
      <c r="H73" s="587"/>
    </row>
    <row r="74" s="44" customFormat="1" spans="1:8">
      <c r="A74" s="582"/>
      <c r="B74" s="583"/>
      <c r="C74" s="584"/>
      <c r="D74" s="584"/>
      <c r="E74" s="585"/>
      <c r="F74" s="584"/>
      <c r="G74" s="586"/>
      <c r="H74" s="587"/>
    </row>
    <row r="75" s="44" customFormat="1" spans="1:8">
      <c r="A75" s="582"/>
      <c r="B75" s="583"/>
      <c r="C75" s="584"/>
      <c r="D75" s="584"/>
      <c r="E75" s="585"/>
      <c r="F75" s="584"/>
      <c r="G75" s="586"/>
      <c r="H75" s="587"/>
    </row>
    <row r="76" s="44" customFormat="1" spans="1:8">
      <c r="A76" s="582"/>
      <c r="B76" s="583"/>
      <c r="C76" s="584"/>
      <c r="D76" s="584"/>
      <c r="E76" s="585"/>
      <c r="F76" s="584"/>
      <c r="G76" s="586"/>
      <c r="H76" s="587"/>
    </row>
    <row r="77" s="44" customFormat="1" spans="1:8">
      <c r="A77" s="582"/>
      <c r="B77" s="583"/>
      <c r="C77" s="584"/>
      <c r="D77" s="584"/>
      <c r="E77" s="585"/>
      <c r="F77" s="584"/>
      <c r="G77" s="586"/>
      <c r="H77" s="587"/>
    </row>
    <row r="78" s="44" customFormat="1" spans="1:8">
      <c r="A78" s="582"/>
      <c r="B78" s="583"/>
      <c r="C78" s="584"/>
      <c r="D78" s="584"/>
      <c r="E78" s="585"/>
      <c r="F78" s="584"/>
      <c r="G78" s="586"/>
      <c r="H78" s="587"/>
    </row>
    <row r="79" s="44" customFormat="1" spans="1:8">
      <c r="A79" s="582"/>
      <c r="B79" s="583"/>
      <c r="C79" s="584"/>
      <c r="D79" s="584"/>
      <c r="E79" s="585"/>
      <c r="F79" s="584"/>
      <c r="G79" s="586"/>
      <c r="H79" s="587"/>
    </row>
    <row r="80" s="44" customFormat="1" spans="1:8">
      <c r="A80" s="582"/>
      <c r="B80" s="583"/>
      <c r="C80" s="584"/>
      <c r="D80" s="584"/>
      <c r="E80" s="585"/>
      <c r="F80" s="584"/>
      <c r="G80" s="586"/>
      <c r="H80" s="587"/>
    </row>
    <row r="81" s="44" customFormat="1" spans="1:8">
      <c r="A81" s="582"/>
      <c r="B81" s="583"/>
      <c r="C81" s="584"/>
      <c r="D81" s="584"/>
      <c r="E81" s="585"/>
      <c r="F81" s="584"/>
      <c r="G81" s="586"/>
      <c r="H81" s="587"/>
    </row>
    <row r="82" s="44" customFormat="1" spans="1:8">
      <c r="A82" s="582"/>
      <c r="B82" s="583"/>
      <c r="C82" s="584"/>
      <c r="D82" s="584"/>
      <c r="E82" s="585"/>
      <c r="F82" s="584"/>
      <c r="G82" s="586"/>
      <c r="H82" s="587"/>
    </row>
    <row r="83" s="44" customFormat="1" spans="1:8">
      <c r="A83" s="582"/>
      <c r="B83" s="583"/>
      <c r="C83" s="584"/>
      <c r="D83" s="584"/>
      <c r="E83" s="585"/>
      <c r="F83" s="584"/>
      <c r="G83" s="586"/>
      <c r="H83" s="587"/>
    </row>
    <row r="84" s="44" customFormat="1" spans="1:8">
      <c r="A84" s="582"/>
      <c r="B84" s="583"/>
      <c r="C84" s="584"/>
      <c r="D84" s="584"/>
      <c r="E84" s="585"/>
      <c r="F84" s="584"/>
      <c r="G84" s="586"/>
      <c r="H84" s="587"/>
    </row>
    <row r="85" s="44" customFormat="1" spans="1:8">
      <c r="A85" s="582"/>
      <c r="B85" s="583"/>
      <c r="C85" s="584"/>
      <c r="D85" s="584"/>
      <c r="E85" s="585"/>
      <c r="F85" s="584"/>
      <c r="G85" s="586"/>
      <c r="H85" s="587"/>
    </row>
    <row r="86" s="44" customFormat="1" spans="1:8">
      <c r="A86" s="582"/>
      <c r="B86" s="583"/>
      <c r="C86" s="584"/>
      <c r="D86" s="584"/>
      <c r="E86" s="585"/>
      <c r="F86" s="584"/>
      <c r="G86" s="586"/>
      <c r="H86" s="587"/>
    </row>
    <row r="87" s="44" customFormat="1" spans="1:8">
      <c r="A87" s="582"/>
      <c r="B87" s="583"/>
      <c r="C87" s="584"/>
      <c r="D87" s="584"/>
      <c r="E87" s="585"/>
      <c r="F87" s="584"/>
      <c r="G87" s="586"/>
      <c r="H87" s="587"/>
    </row>
    <row r="88" s="44" customFormat="1" ht="18" customHeight="1" spans="1:8">
      <c r="A88" s="582"/>
      <c r="B88" s="583"/>
      <c r="C88" s="584"/>
      <c r="D88" s="584"/>
      <c r="E88" s="585"/>
      <c r="F88" s="584"/>
      <c r="G88" s="586"/>
      <c r="H88" s="587"/>
    </row>
    <row r="89" s="44" customFormat="1" spans="1:8">
      <c r="A89" s="582"/>
      <c r="B89" s="583"/>
      <c r="C89" s="584"/>
      <c r="D89" s="584"/>
      <c r="E89" s="585"/>
      <c r="F89" s="584"/>
      <c r="G89" s="586"/>
      <c r="H89" s="587"/>
    </row>
    <row r="90" s="44" customFormat="1" spans="1:8">
      <c r="A90" s="582"/>
      <c r="B90" s="583"/>
      <c r="C90" s="584"/>
      <c r="D90" s="584"/>
      <c r="E90" s="585"/>
      <c r="F90" s="584"/>
      <c r="G90" s="586"/>
      <c r="H90" s="587"/>
    </row>
    <row r="91" s="44" customFormat="1" spans="1:8">
      <c r="A91" s="582"/>
      <c r="B91" s="583"/>
      <c r="C91" s="584"/>
      <c r="D91" s="584"/>
      <c r="E91" s="585"/>
      <c r="F91" s="584"/>
      <c r="G91" s="586"/>
      <c r="H91" s="587"/>
    </row>
    <row r="92" s="44" customFormat="1" spans="1:8">
      <c r="A92" s="582"/>
      <c r="B92" s="583"/>
      <c r="C92" s="584"/>
      <c r="D92" s="584"/>
      <c r="E92" s="585"/>
      <c r="F92" s="584"/>
      <c r="G92" s="586"/>
      <c r="H92" s="587"/>
    </row>
    <row r="93" s="44" customFormat="1" spans="1:8">
      <c r="A93" s="582"/>
      <c r="B93" s="583"/>
      <c r="C93" s="584"/>
      <c r="D93" s="584"/>
      <c r="E93" s="585"/>
      <c r="F93" s="584"/>
      <c r="G93" s="586"/>
      <c r="H93" s="587"/>
    </row>
    <row r="94" s="44" customFormat="1" spans="1:8">
      <c r="A94" s="582"/>
      <c r="B94" s="583"/>
      <c r="C94" s="584"/>
      <c r="D94" s="584"/>
      <c r="E94" s="585"/>
      <c r="F94" s="584"/>
      <c r="G94" s="586"/>
      <c r="H94" s="587"/>
    </row>
    <row r="95" s="44" customFormat="1" spans="1:8">
      <c r="A95" s="582"/>
      <c r="B95" s="583"/>
      <c r="C95" s="584"/>
      <c r="D95" s="584"/>
      <c r="E95" s="585"/>
      <c r="F95" s="584"/>
      <c r="G95" s="586"/>
      <c r="H95" s="587"/>
    </row>
    <row r="96" s="44" customFormat="1" spans="1:8">
      <c r="A96" s="582"/>
      <c r="B96" s="583"/>
      <c r="C96" s="584"/>
      <c r="D96" s="584"/>
      <c r="E96" s="585"/>
      <c r="F96" s="584"/>
      <c r="G96" s="586"/>
      <c r="H96" s="587"/>
    </row>
    <row r="97" s="44" customFormat="1" spans="1:8">
      <c r="A97" s="582"/>
      <c r="B97" s="583"/>
      <c r="C97" s="584"/>
      <c r="D97" s="584"/>
      <c r="E97" s="585"/>
      <c r="F97" s="584"/>
      <c r="G97" s="586"/>
      <c r="H97" s="587"/>
    </row>
    <row r="98" s="44" customFormat="1" spans="1:8">
      <c r="A98" s="582"/>
      <c r="B98" s="583"/>
      <c r="C98" s="584"/>
      <c r="D98" s="584"/>
      <c r="E98" s="585"/>
      <c r="F98" s="584"/>
      <c r="G98" s="586"/>
      <c r="H98" s="587"/>
    </row>
    <row r="99" s="44" customFormat="1" spans="1:8">
      <c r="A99" s="582"/>
      <c r="B99" s="583"/>
      <c r="C99" s="584"/>
      <c r="D99" s="584"/>
      <c r="E99" s="585"/>
      <c r="F99" s="584"/>
      <c r="G99" s="586"/>
      <c r="H99" s="587"/>
    </row>
    <row r="100" s="44" customFormat="1" spans="1:8">
      <c r="A100" s="582"/>
      <c r="B100" s="583"/>
      <c r="C100" s="584"/>
      <c r="D100" s="584"/>
      <c r="E100" s="585"/>
      <c r="F100" s="584"/>
      <c r="G100" s="586"/>
      <c r="H100" s="587"/>
    </row>
    <row r="101" s="44" customFormat="1" spans="1:8">
      <c r="A101" s="582"/>
      <c r="B101" s="583"/>
      <c r="C101" s="584"/>
      <c r="D101" s="584"/>
      <c r="E101" s="585"/>
      <c r="F101" s="584"/>
      <c r="G101" s="586"/>
      <c r="H101" s="587"/>
    </row>
    <row r="102" s="44" customFormat="1" spans="1:8">
      <c r="A102" s="582"/>
      <c r="B102" s="583"/>
      <c r="C102" s="584"/>
      <c r="D102" s="584"/>
      <c r="E102" s="585"/>
      <c r="F102" s="584"/>
      <c r="G102" s="586"/>
      <c r="H102" s="587"/>
    </row>
    <row r="103" s="44" customFormat="1" spans="1:8">
      <c r="A103" s="582"/>
      <c r="B103" s="583"/>
      <c r="C103" s="584"/>
      <c r="D103" s="584"/>
      <c r="E103" s="585"/>
      <c r="F103" s="584"/>
      <c r="G103" s="586"/>
      <c r="H103" s="587"/>
    </row>
    <row r="104" s="44" customFormat="1" spans="1:8">
      <c r="A104" s="582"/>
      <c r="B104" s="583"/>
      <c r="C104" s="584"/>
      <c r="D104" s="584"/>
      <c r="E104" s="585"/>
      <c r="F104" s="584"/>
      <c r="G104" s="586"/>
      <c r="H104" s="587"/>
    </row>
    <row r="105" s="44" customFormat="1" spans="1:8">
      <c r="A105" s="582"/>
      <c r="B105" s="583"/>
      <c r="C105" s="584"/>
      <c r="D105" s="584"/>
      <c r="E105" s="585"/>
      <c r="F105" s="584"/>
      <c r="G105" s="586"/>
      <c r="H105" s="587"/>
    </row>
    <row r="106" s="44" customFormat="1" spans="1:8">
      <c r="A106" s="582"/>
      <c r="B106" s="583"/>
      <c r="C106" s="584"/>
      <c r="D106" s="584"/>
      <c r="E106" s="585"/>
      <c r="F106" s="584"/>
      <c r="G106" s="586"/>
      <c r="H106" s="587"/>
    </row>
    <row r="107" s="44" customFormat="1" spans="1:8">
      <c r="A107" s="582"/>
      <c r="B107" s="583"/>
      <c r="C107" s="584"/>
      <c r="D107" s="584"/>
      <c r="E107" s="585"/>
      <c r="F107" s="584"/>
      <c r="G107" s="586"/>
      <c r="H107" s="587"/>
    </row>
    <row r="108" s="44" customFormat="1" spans="1:8">
      <c r="A108" s="582"/>
      <c r="B108" s="583"/>
      <c r="C108" s="584"/>
      <c r="D108" s="584"/>
      <c r="E108" s="585"/>
      <c r="F108" s="584"/>
      <c r="G108" s="586"/>
      <c r="H108" s="587"/>
    </row>
    <row r="109" s="44" customFormat="1" spans="1:8">
      <c r="A109" s="582"/>
      <c r="B109" s="583"/>
      <c r="C109" s="584"/>
      <c r="D109" s="584"/>
      <c r="E109" s="585"/>
      <c r="F109" s="584"/>
      <c r="G109" s="586"/>
      <c r="H109" s="587"/>
    </row>
    <row r="110" s="44" customFormat="1" spans="1:8">
      <c r="A110" s="582"/>
      <c r="B110" s="583"/>
      <c r="C110" s="584"/>
      <c r="D110" s="584"/>
      <c r="E110" s="585"/>
      <c r="F110" s="584"/>
      <c r="G110" s="586"/>
      <c r="H110" s="587"/>
    </row>
    <row r="111" s="44" customFormat="1" spans="1:8">
      <c r="A111" s="582"/>
      <c r="B111" s="583"/>
      <c r="C111" s="584"/>
      <c r="D111" s="584"/>
      <c r="E111" s="585"/>
      <c r="F111" s="584"/>
      <c r="G111" s="586"/>
      <c r="H111" s="587"/>
    </row>
    <row r="112" s="44" customFormat="1" spans="1:8">
      <c r="A112" s="582"/>
      <c r="B112" s="583"/>
      <c r="C112" s="584"/>
      <c r="D112" s="584"/>
      <c r="E112" s="585"/>
      <c r="F112" s="584"/>
      <c r="G112" s="586"/>
      <c r="H112" s="587"/>
    </row>
    <row r="113" s="44" customFormat="1" spans="1:8">
      <c r="A113" s="582"/>
      <c r="B113" s="583"/>
      <c r="C113" s="584"/>
      <c r="D113" s="584"/>
      <c r="E113" s="585"/>
      <c r="F113" s="584"/>
      <c r="G113" s="586"/>
      <c r="H113" s="587"/>
    </row>
    <row r="114" s="44" customFormat="1" spans="1:8">
      <c r="A114" s="582"/>
      <c r="B114" s="583"/>
      <c r="C114" s="584"/>
      <c r="D114" s="584"/>
      <c r="E114" s="585"/>
      <c r="F114" s="584"/>
      <c r="G114" s="586"/>
      <c r="H114" s="587"/>
    </row>
    <row r="115" s="44" customFormat="1" spans="1:8">
      <c r="A115" s="582"/>
      <c r="B115" s="583"/>
      <c r="C115" s="584"/>
      <c r="D115" s="584"/>
      <c r="E115" s="585"/>
      <c r="F115" s="584"/>
      <c r="G115" s="586"/>
      <c r="H115" s="587"/>
    </row>
    <row r="116" s="44" customFormat="1" spans="1:8">
      <c r="A116" s="582"/>
      <c r="B116" s="583"/>
      <c r="C116" s="584"/>
      <c r="D116" s="584"/>
      <c r="E116" s="585"/>
      <c r="F116" s="584"/>
      <c r="G116" s="586"/>
      <c r="H116" s="587"/>
    </row>
    <row r="117" s="44" customFormat="1" spans="1:8">
      <c r="A117" s="582"/>
      <c r="B117" s="583"/>
      <c r="C117" s="584"/>
      <c r="D117" s="584"/>
      <c r="E117" s="585"/>
      <c r="F117" s="584"/>
      <c r="G117" s="586"/>
      <c r="H117" s="587"/>
    </row>
    <row r="118" s="44" customFormat="1" spans="1:8">
      <c r="A118" s="582"/>
      <c r="B118" s="583"/>
      <c r="C118" s="584"/>
      <c r="D118" s="584"/>
      <c r="E118" s="585"/>
      <c r="F118" s="584"/>
      <c r="G118" s="586"/>
      <c r="H118" s="587"/>
    </row>
    <row r="119" s="44" customFormat="1" spans="1:8">
      <c r="A119" s="582"/>
      <c r="B119" s="583"/>
      <c r="C119" s="584"/>
      <c r="D119" s="584"/>
      <c r="E119" s="585"/>
      <c r="F119" s="584"/>
      <c r="G119" s="586"/>
      <c r="H119" s="587"/>
    </row>
    <row r="120" s="44" customFormat="1" spans="1:8">
      <c r="A120" s="582"/>
      <c r="B120" s="583"/>
      <c r="C120" s="584"/>
      <c r="D120" s="584"/>
      <c r="E120" s="585"/>
      <c r="F120" s="584"/>
      <c r="G120" s="586"/>
      <c r="H120" s="587"/>
    </row>
    <row r="121" s="44" customFormat="1" spans="1:8">
      <c r="A121" s="582"/>
      <c r="B121" s="583"/>
      <c r="C121" s="584"/>
      <c r="D121" s="584"/>
      <c r="E121" s="585"/>
      <c r="F121" s="584"/>
      <c r="G121" s="586"/>
      <c r="H121" s="587"/>
    </row>
    <row r="122" s="44" customFormat="1" spans="1:8">
      <c r="A122" s="582"/>
      <c r="B122" s="583"/>
      <c r="C122" s="584"/>
      <c r="D122" s="584"/>
      <c r="E122" s="585"/>
      <c r="F122" s="584"/>
      <c r="G122" s="586"/>
      <c r="H122" s="587"/>
    </row>
    <row r="123" s="44" customFormat="1" spans="1:8">
      <c r="A123" s="582"/>
      <c r="B123" s="583"/>
      <c r="C123" s="584"/>
      <c r="D123" s="584"/>
      <c r="E123" s="585"/>
      <c r="F123" s="584"/>
      <c r="G123" s="586"/>
      <c r="H123" s="587"/>
    </row>
    <row r="124" s="44" customFormat="1" spans="1:8">
      <c r="A124" s="582"/>
      <c r="B124" s="583"/>
      <c r="C124" s="584"/>
      <c r="D124" s="584"/>
      <c r="E124" s="585"/>
      <c r="F124" s="584"/>
      <c r="G124" s="586"/>
      <c r="H124" s="587"/>
    </row>
    <row r="125" s="44" customFormat="1" spans="1:8">
      <c r="A125" s="582"/>
      <c r="B125" s="583"/>
      <c r="C125" s="584"/>
      <c r="D125" s="584"/>
      <c r="E125" s="585"/>
      <c r="F125" s="584"/>
      <c r="G125" s="586"/>
      <c r="H125" s="587"/>
    </row>
    <row r="126" s="44" customFormat="1" spans="1:8">
      <c r="A126" s="582"/>
      <c r="B126" s="583"/>
      <c r="C126" s="584"/>
      <c r="D126" s="584"/>
      <c r="E126" s="585"/>
      <c r="F126" s="584"/>
      <c r="G126" s="586"/>
      <c r="H126" s="587"/>
    </row>
    <row r="127" s="44" customFormat="1" spans="1:8">
      <c r="A127" s="582"/>
      <c r="B127" s="583"/>
      <c r="C127" s="584"/>
      <c r="D127" s="584"/>
      <c r="E127" s="585"/>
      <c r="F127" s="584"/>
      <c r="G127" s="586"/>
      <c r="H127" s="587"/>
    </row>
    <row r="128" s="44" customFormat="1" spans="1:8">
      <c r="A128" s="582"/>
      <c r="B128" s="583"/>
      <c r="C128" s="584"/>
      <c r="D128" s="584"/>
      <c r="E128" s="585"/>
      <c r="F128" s="584"/>
      <c r="G128" s="586"/>
      <c r="H128" s="587"/>
    </row>
    <row r="129" s="44" customFormat="1" spans="1:8">
      <c r="A129" s="582"/>
      <c r="B129" s="583"/>
      <c r="C129" s="584"/>
      <c r="D129" s="584"/>
      <c r="E129" s="585"/>
      <c r="F129" s="584"/>
      <c r="G129" s="586"/>
      <c r="H129" s="587"/>
    </row>
    <row r="130" s="44" customFormat="1" spans="1:8">
      <c r="A130" s="582"/>
      <c r="B130" s="583"/>
      <c r="C130" s="584"/>
      <c r="D130" s="584"/>
      <c r="E130" s="585"/>
      <c r="F130" s="584"/>
      <c r="G130" s="586"/>
      <c r="H130" s="587"/>
    </row>
    <row r="131" s="44" customFormat="1" spans="1:8">
      <c r="A131" s="582"/>
      <c r="B131" s="583"/>
      <c r="C131" s="584"/>
      <c r="D131" s="584"/>
      <c r="E131" s="585"/>
      <c r="F131" s="584"/>
      <c r="G131" s="586"/>
      <c r="H131" s="587"/>
    </row>
    <row r="132" s="44" customFormat="1" spans="1:8">
      <c r="A132" s="582"/>
      <c r="B132" s="583"/>
      <c r="C132" s="584"/>
      <c r="D132" s="584"/>
      <c r="E132" s="585"/>
      <c r="F132" s="584"/>
      <c r="G132" s="586"/>
      <c r="H132" s="587"/>
    </row>
    <row r="133" s="44" customFormat="1" spans="1:8">
      <c r="A133" s="582"/>
      <c r="B133" s="583"/>
      <c r="C133" s="584"/>
      <c r="D133" s="584"/>
      <c r="E133" s="585"/>
      <c r="F133" s="584"/>
      <c r="G133" s="586"/>
      <c r="H133" s="587"/>
    </row>
    <row r="134" s="44" customFormat="1" spans="1:8">
      <c r="A134" s="582"/>
      <c r="B134" s="583"/>
      <c r="C134" s="584"/>
      <c r="D134" s="584"/>
      <c r="E134" s="585"/>
      <c r="F134" s="584"/>
      <c r="G134" s="586"/>
      <c r="H134" s="587"/>
    </row>
    <row r="135" s="44" customFormat="1" spans="1:8">
      <c r="A135" s="582"/>
      <c r="B135" s="583"/>
      <c r="C135" s="584"/>
      <c r="D135" s="584"/>
      <c r="E135" s="585"/>
      <c r="F135" s="584"/>
      <c r="G135" s="586"/>
      <c r="H135" s="587"/>
    </row>
    <row r="136" s="44" customFormat="1" spans="1:8">
      <c r="A136" s="582"/>
      <c r="B136" s="583"/>
      <c r="C136" s="584"/>
      <c r="D136" s="584"/>
      <c r="E136" s="585"/>
      <c r="F136" s="584"/>
      <c r="G136" s="586"/>
      <c r="H136" s="587"/>
    </row>
    <row r="137" s="44" customFormat="1" spans="1:8">
      <c r="A137" s="582"/>
      <c r="B137" s="583"/>
      <c r="C137" s="584"/>
      <c r="D137" s="584"/>
      <c r="E137" s="585"/>
      <c r="F137" s="584"/>
      <c r="G137" s="586"/>
      <c r="H137" s="587"/>
    </row>
    <row r="138" s="44" customFormat="1" spans="1:8">
      <c r="A138" s="582"/>
      <c r="B138" s="583"/>
      <c r="C138" s="584"/>
      <c r="D138" s="584"/>
      <c r="E138" s="585"/>
      <c r="F138" s="584"/>
      <c r="G138" s="586"/>
      <c r="H138" s="587"/>
    </row>
    <row r="139" s="44" customFormat="1" spans="1:8">
      <c r="A139" s="582"/>
      <c r="B139" s="583"/>
      <c r="C139" s="584"/>
      <c r="D139" s="584"/>
      <c r="E139" s="585"/>
      <c r="F139" s="584"/>
      <c r="G139" s="586"/>
      <c r="H139" s="587"/>
    </row>
    <row r="140" s="44" customFormat="1" spans="1:8">
      <c r="A140" s="582"/>
      <c r="B140" s="583"/>
      <c r="C140" s="584"/>
      <c r="D140" s="584"/>
      <c r="E140" s="585"/>
      <c r="F140" s="584"/>
      <c r="G140" s="586"/>
      <c r="H140" s="587"/>
    </row>
    <row r="141" s="44" customFormat="1" spans="1:8">
      <c r="A141" s="582"/>
      <c r="B141" s="583"/>
      <c r="C141" s="584"/>
      <c r="D141" s="584"/>
      <c r="E141" s="585"/>
      <c r="F141" s="584"/>
      <c r="G141" s="586"/>
      <c r="H141" s="587"/>
    </row>
    <row r="142" s="44" customFormat="1" spans="1:8">
      <c r="A142" s="582"/>
      <c r="B142" s="583"/>
      <c r="C142" s="584"/>
      <c r="D142" s="584"/>
      <c r="E142" s="585"/>
      <c r="F142" s="584"/>
      <c r="G142" s="586"/>
      <c r="H142" s="587"/>
    </row>
    <row r="143" s="44" customFormat="1" spans="1:8">
      <c r="A143" s="582"/>
      <c r="B143" s="583"/>
      <c r="C143" s="584"/>
      <c r="D143" s="584"/>
      <c r="E143" s="585"/>
      <c r="F143" s="584"/>
      <c r="G143" s="586"/>
      <c r="H143" s="587"/>
    </row>
    <row r="144" s="44" customFormat="1" spans="1:8">
      <c r="A144" s="582"/>
      <c r="B144" s="583"/>
      <c r="C144" s="584"/>
      <c r="D144" s="584"/>
      <c r="E144" s="585"/>
      <c r="F144" s="584"/>
      <c r="G144" s="586"/>
      <c r="H144" s="587"/>
    </row>
    <row r="145" s="44" customFormat="1" spans="1:8">
      <c r="A145" s="582"/>
      <c r="B145" s="583"/>
      <c r="C145" s="584"/>
      <c r="D145" s="584"/>
      <c r="E145" s="585"/>
      <c r="F145" s="584"/>
      <c r="G145" s="586"/>
      <c r="H145" s="587"/>
    </row>
    <row r="146" s="44" customFormat="1" spans="1:8">
      <c r="A146" s="582"/>
      <c r="B146" s="583"/>
      <c r="C146" s="584"/>
      <c r="D146" s="584"/>
      <c r="E146" s="585"/>
      <c r="F146" s="584"/>
      <c r="G146" s="586"/>
      <c r="H146" s="587"/>
    </row>
    <row r="147" s="44" customFormat="1" spans="1:8">
      <c r="A147" s="582"/>
      <c r="B147" s="583"/>
      <c r="C147" s="584"/>
      <c r="D147" s="584"/>
      <c r="E147" s="585"/>
      <c r="F147" s="584"/>
      <c r="G147" s="586"/>
      <c r="H147" s="587"/>
    </row>
    <row r="148" s="44" customFormat="1" spans="1:8">
      <c r="A148" s="582"/>
      <c r="B148" s="583"/>
      <c r="C148" s="584"/>
      <c r="D148" s="584"/>
      <c r="E148" s="585"/>
      <c r="F148" s="584"/>
      <c r="G148" s="586"/>
      <c r="H148" s="587"/>
    </row>
    <row r="149" s="44" customFormat="1" spans="1:8">
      <c r="A149" s="582"/>
      <c r="B149" s="583"/>
      <c r="C149" s="584"/>
      <c r="D149" s="584"/>
      <c r="E149" s="585"/>
      <c r="F149" s="584"/>
      <c r="G149" s="586"/>
      <c r="H149" s="587"/>
    </row>
    <row r="150" s="44" customFormat="1" spans="1:8">
      <c r="A150" s="582"/>
      <c r="B150" s="583"/>
      <c r="C150" s="584"/>
      <c r="D150" s="584"/>
      <c r="E150" s="585"/>
      <c r="F150" s="584"/>
      <c r="G150" s="586"/>
      <c r="H150" s="587"/>
    </row>
    <row r="151" s="44" customFormat="1" spans="1:8">
      <c r="A151" s="582"/>
      <c r="B151" s="583"/>
      <c r="C151" s="584"/>
      <c r="D151" s="584"/>
      <c r="E151" s="585"/>
      <c r="F151" s="584"/>
      <c r="G151" s="586"/>
      <c r="H151" s="587"/>
    </row>
    <row r="152" s="44" customFormat="1" spans="1:8">
      <c r="A152" s="582"/>
      <c r="B152" s="583"/>
      <c r="C152" s="584"/>
      <c r="D152" s="584"/>
      <c r="E152" s="585"/>
      <c r="F152" s="584"/>
      <c r="G152" s="586"/>
      <c r="H152" s="587"/>
    </row>
    <row r="153" s="44" customFormat="1" spans="1:8">
      <c r="A153" s="582"/>
      <c r="B153" s="583"/>
      <c r="C153" s="584"/>
      <c r="D153" s="584"/>
      <c r="E153" s="585"/>
      <c r="F153" s="584"/>
      <c r="G153" s="586"/>
      <c r="H153" s="587"/>
    </row>
    <row r="154" s="44" customFormat="1" spans="1:8">
      <c r="A154" s="582"/>
      <c r="B154" s="583"/>
      <c r="C154" s="584"/>
      <c r="D154" s="584"/>
      <c r="E154" s="585"/>
      <c r="F154" s="584"/>
      <c r="G154" s="586"/>
      <c r="H154" s="587"/>
    </row>
    <row r="155" s="44" customFormat="1" spans="1:8">
      <c r="A155" s="582"/>
      <c r="B155" s="583"/>
      <c r="C155" s="584"/>
      <c r="D155" s="584"/>
      <c r="E155" s="585"/>
      <c r="F155" s="584"/>
      <c r="G155" s="586"/>
      <c r="H155" s="587"/>
    </row>
    <row r="156" s="44" customFormat="1" spans="1:8">
      <c r="A156" s="582"/>
      <c r="B156" s="583"/>
      <c r="C156" s="584"/>
      <c r="D156" s="584"/>
      <c r="E156" s="585"/>
      <c r="F156" s="584"/>
      <c r="G156" s="586"/>
      <c r="H156" s="587"/>
    </row>
    <row r="157" s="44" customFormat="1" spans="1:8">
      <c r="A157" s="582"/>
      <c r="B157" s="583"/>
      <c r="C157" s="584"/>
      <c r="D157" s="584"/>
      <c r="E157" s="585"/>
      <c r="F157" s="584"/>
      <c r="G157" s="586"/>
      <c r="H157" s="587"/>
    </row>
    <row r="158" s="44" customFormat="1" spans="1:8">
      <c r="A158" s="582"/>
      <c r="B158" s="583"/>
      <c r="C158" s="584"/>
      <c r="D158" s="584"/>
      <c r="E158" s="585"/>
      <c r="F158" s="584"/>
      <c r="G158" s="586"/>
      <c r="H158" s="587"/>
    </row>
    <row r="159" s="44" customFormat="1" spans="1:8">
      <c r="A159" s="582"/>
      <c r="B159" s="583"/>
      <c r="C159" s="584"/>
      <c r="D159" s="584"/>
      <c r="E159" s="585"/>
      <c r="F159" s="584"/>
      <c r="G159" s="586"/>
      <c r="H159" s="587"/>
    </row>
    <row r="160" s="44" customFormat="1" spans="1:8">
      <c r="A160" s="582"/>
      <c r="B160" s="583"/>
      <c r="C160" s="584"/>
      <c r="D160" s="584"/>
      <c r="E160" s="585"/>
      <c r="F160" s="584"/>
      <c r="G160" s="586"/>
      <c r="H160" s="587"/>
    </row>
    <row r="161" s="44" customFormat="1" spans="1:8">
      <c r="A161" s="582"/>
      <c r="B161" s="583"/>
      <c r="C161" s="584"/>
      <c r="D161" s="584"/>
      <c r="E161" s="585"/>
      <c r="F161" s="584"/>
      <c r="G161" s="586"/>
      <c r="H161" s="587"/>
    </row>
    <row r="162" s="44" customFormat="1" spans="1:8">
      <c r="A162" s="582"/>
      <c r="B162" s="583"/>
      <c r="C162" s="584"/>
      <c r="D162" s="584"/>
      <c r="E162" s="585"/>
      <c r="F162" s="584"/>
      <c r="G162" s="586"/>
      <c r="H162" s="587"/>
    </row>
    <row r="163" s="44" customFormat="1" spans="1:8">
      <c r="A163" s="582"/>
      <c r="B163" s="583"/>
      <c r="C163" s="584"/>
      <c r="D163" s="584"/>
      <c r="E163" s="585"/>
      <c r="F163" s="584"/>
      <c r="G163" s="586"/>
      <c r="H163" s="587"/>
    </row>
    <row r="164" s="44" customFormat="1" spans="1:8">
      <c r="A164" s="582"/>
      <c r="B164" s="583"/>
      <c r="C164" s="584"/>
      <c r="D164" s="584"/>
      <c r="E164" s="585"/>
      <c r="F164" s="584"/>
      <c r="G164" s="586"/>
      <c r="H164" s="587"/>
    </row>
    <row r="165" s="44" customFormat="1" spans="1:8">
      <c r="A165" s="582"/>
      <c r="B165" s="583"/>
      <c r="C165" s="584"/>
      <c r="D165" s="584"/>
      <c r="E165" s="585"/>
      <c r="F165" s="584"/>
      <c r="G165" s="586"/>
      <c r="H165" s="587"/>
    </row>
    <row r="166" s="44" customFormat="1" spans="1:8">
      <c r="A166" s="582"/>
      <c r="B166" s="583"/>
      <c r="C166" s="584"/>
      <c r="D166" s="584"/>
      <c r="E166" s="585"/>
      <c r="F166" s="584"/>
      <c r="G166" s="586"/>
      <c r="H166" s="587"/>
    </row>
    <row r="167" s="44" customFormat="1" spans="1:8">
      <c r="A167" s="582"/>
      <c r="B167" s="583"/>
      <c r="C167" s="584"/>
      <c r="D167" s="584"/>
      <c r="E167" s="585"/>
      <c r="F167" s="584"/>
      <c r="G167" s="586"/>
      <c r="H167" s="587"/>
    </row>
    <row r="168" s="44" customFormat="1" spans="1:8">
      <c r="A168" s="582"/>
      <c r="B168" s="583"/>
      <c r="C168" s="584"/>
      <c r="D168" s="584"/>
      <c r="E168" s="585"/>
      <c r="F168" s="584"/>
      <c r="G168" s="586"/>
      <c r="H168" s="587"/>
    </row>
    <row r="169" s="44" customFormat="1" spans="1:8">
      <c r="A169" s="582"/>
      <c r="B169" s="583"/>
      <c r="C169" s="584"/>
      <c r="D169" s="584"/>
      <c r="E169" s="585"/>
      <c r="F169" s="584"/>
      <c r="G169" s="586"/>
      <c r="H169" s="587"/>
    </row>
    <row r="170" s="44" customFormat="1" spans="1:8">
      <c r="A170" s="582"/>
      <c r="B170" s="583"/>
      <c r="C170" s="584"/>
      <c r="D170" s="584"/>
      <c r="E170" s="585"/>
      <c r="F170" s="584"/>
      <c r="G170" s="586"/>
      <c r="H170" s="587"/>
    </row>
    <row r="171" s="44" customFormat="1" spans="1:8">
      <c r="A171" s="582"/>
      <c r="B171" s="583"/>
      <c r="C171" s="584"/>
      <c r="D171" s="584"/>
      <c r="E171" s="585"/>
      <c r="F171" s="584"/>
      <c r="G171" s="586"/>
      <c r="H171" s="587"/>
    </row>
    <row r="172" s="44" customFormat="1" spans="1:8">
      <c r="A172" s="582"/>
      <c r="B172" s="583"/>
      <c r="C172" s="584"/>
      <c r="D172" s="584"/>
      <c r="E172" s="585"/>
      <c r="F172" s="584"/>
      <c r="G172" s="586"/>
      <c r="H172" s="587"/>
    </row>
    <row r="173" s="44" customFormat="1" spans="1:8">
      <c r="A173" s="582"/>
      <c r="B173" s="583"/>
      <c r="C173" s="584"/>
      <c r="D173" s="584"/>
      <c r="E173" s="585"/>
      <c r="F173" s="584"/>
      <c r="G173" s="586"/>
      <c r="H173" s="587"/>
    </row>
    <row r="174" s="44" customFormat="1" spans="1:8">
      <c r="A174" s="582"/>
      <c r="B174" s="583"/>
      <c r="C174" s="584"/>
      <c r="D174" s="584"/>
      <c r="E174" s="585"/>
      <c r="F174" s="584"/>
      <c r="G174" s="586"/>
      <c r="H174" s="587"/>
    </row>
    <row r="175" s="44" customFormat="1" spans="1:8">
      <c r="A175" s="582"/>
      <c r="B175" s="583"/>
      <c r="C175" s="584"/>
      <c r="D175" s="584"/>
      <c r="E175" s="585"/>
      <c r="F175" s="584"/>
      <c r="G175" s="586"/>
      <c r="H175" s="587"/>
    </row>
    <row r="176" s="44" customFormat="1" spans="1:8">
      <c r="A176" s="582"/>
      <c r="B176" s="583"/>
      <c r="C176" s="584"/>
      <c r="D176" s="584"/>
      <c r="E176" s="585"/>
      <c r="F176" s="584"/>
      <c r="G176" s="586"/>
      <c r="H176" s="587"/>
    </row>
    <row r="177" s="44" customFormat="1" spans="1:8">
      <c r="A177" s="582"/>
      <c r="B177" s="583"/>
      <c r="C177" s="584"/>
      <c r="D177" s="584"/>
      <c r="E177" s="585"/>
      <c r="F177" s="584"/>
      <c r="G177" s="586"/>
      <c r="H177" s="587"/>
    </row>
    <row r="178" s="44" customFormat="1" spans="1:8">
      <c r="A178" s="582"/>
      <c r="B178" s="583"/>
      <c r="C178" s="584"/>
      <c r="D178" s="584"/>
      <c r="E178" s="585"/>
      <c r="F178" s="584"/>
      <c r="G178" s="586"/>
      <c r="H178" s="587"/>
    </row>
    <row r="179" s="44" customFormat="1" spans="1:8">
      <c r="A179" s="582"/>
      <c r="B179" s="583"/>
      <c r="C179" s="584"/>
      <c r="D179" s="584"/>
      <c r="E179" s="585"/>
      <c r="F179" s="584"/>
      <c r="G179" s="586"/>
      <c r="H179" s="587"/>
    </row>
    <row r="180" s="44" customFormat="1" spans="1:8">
      <c r="A180" s="582"/>
      <c r="B180" s="583"/>
      <c r="C180" s="584"/>
      <c r="D180" s="584"/>
      <c r="E180" s="585"/>
      <c r="F180" s="584"/>
      <c r="G180" s="586"/>
      <c r="H180" s="587"/>
    </row>
    <row r="181" s="44" customFormat="1" spans="1:8">
      <c r="A181" s="582"/>
      <c r="B181" s="583"/>
      <c r="C181" s="584"/>
      <c r="D181" s="584"/>
      <c r="E181" s="585"/>
      <c r="F181" s="584"/>
      <c r="G181" s="586"/>
      <c r="H181" s="587"/>
    </row>
    <row r="182" s="44" customFormat="1" spans="1:8">
      <c r="A182" s="582"/>
      <c r="B182" s="583"/>
      <c r="C182" s="584"/>
      <c r="D182" s="584"/>
      <c r="E182" s="585"/>
      <c r="F182" s="584"/>
      <c r="G182" s="586"/>
      <c r="H182" s="587"/>
    </row>
    <row r="183" s="44" customFormat="1" spans="1:8">
      <c r="A183" s="582"/>
      <c r="B183" s="583"/>
      <c r="C183" s="584"/>
      <c r="D183" s="584"/>
      <c r="E183" s="585"/>
      <c r="F183" s="584"/>
      <c r="G183" s="586"/>
      <c r="H183" s="587"/>
    </row>
    <row r="184" s="44" customFormat="1" spans="1:8">
      <c r="A184" s="582"/>
      <c r="B184" s="583"/>
      <c r="C184" s="584"/>
      <c r="D184" s="584"/>
      <c r="E184" s="585"/>
      <c r="F184" s="584"/>
      <c r="G184" s="586"/>
      <c r="H184" s="587"/>
    </row>
    <row r="185" s="44" customFormat="1" spans="1:8">
      <c r="A185" s="582"/>
      <c r="B185" s="583"/>
      <c r="C185" s="584"/>
      <c r="D185" s="584"/>
      <c r="E185" s="585"/>
      <c r="F185" s="584"/>
      <c r="G185" s="586"/>
      <c r="H185" s="587"/>
    </row>
    <row r="186" s="44" customFormat="1" spans="1:8">
      <c r="A186" s="582"/>
      <c r="B186" s="583"/>
      <c r="C186" s="584"/>
      <c r="D186" s="584"/>
      <c r="E186" s="585"/>
      <c r="F186" s="584"/>
      <c r="G186" s="586"/>
      <c r="H186" s="587"/>
    </row>
    <row r="187" s="44" customFormat="1" spans="1:8">
      <c r="A187" s="582"/>
      <c r="B187" s="583"/>
      <c r="C187" s="584"/>
      <c r="D187" s="584"/>
      <c r="E187" s="585"/>
      <c r="F187" s="584"/>
      <c r="G187" s="586"/>
      <c r="H187" s="587"/>
    </row>
    <row r="188" s="44" customFormat="1" spans="1:8">
      <c r="A188" s="582"/>
      <c r="B188" s="583"/>
      <c r="C188" s="584"/>
      <c r="D188" s="584"/>
      <c r="E188" s="585"/>
      <c r="F188" s="584"/>
      <c r="G188" s="586"/>
      <c r="H188" s="587"/>
    </row>
    <row r="189" s="44" customFormat="1" spans="1:8">
      <c r="A189" s="582"/>
      <c r="B189" s="583"/>
      <c r="C189" s="584"/>
      <c r="D189" s="584"/>
      <c r="E189" s="585"/>
      <c r="F189" s="584"/>
      <c r="G189" s="586"/>
      <c r="H189" s="587"/>
    </row>
    <row r="190" s="44" customFormat="1" spans="1:8">
      <c r="A190" s="582"/>
      <c r="B190" s="583"/>
      <c r="C190" s="584"/>
      <c r="D190" s="584"/>
      <c r="E190" s="585"/>
      <c r="F190" s="584"/>
      <c r="G190" s="586"/>
      <c r="H190" s="587"/>
    </row>
    <row r="191" s="44" customFormat="1" spans="1:8">
      <c r="A191" s="582"/>
      <c r="B191" s="583"/>
      <c r="C191" s="584"/>
      <c r="D191" s="584"/>
      <c r="E191" s="585"/>
      <c r="F191" s="584"/>
      <c r="G191" s="586"/>
      <c r="H191" s="587"/>
    </row>
    <row r="192" s="44" customFormat="1" spans="1:8">
      <c r="A192" s="582"/>
      <c r="B192" s="583"/>
      <c r="C192" s="584"/>
      <c r="D192" s="584"/>
      <c r="E192" s="585"/>
      <c r="F192" s="584"/>
      <c r="G192" s="586"/>
      <c r="H192" s="587"/>
    </row>
    <row r="193" s="44" customFormat="1" spans="1:8">
      <c r="A193" s="582"/>
      <c r="B193" s="583"/>
      <c r="C193" s="584"/>
      <c r="D193" s="584"/>
      <c r="E193" s="585"/>
      <c r="F193" s="584"/>
      <c r="G193" s="586"/>
      <c r="H193" s="587"/>
    </row>
    <row r="194" s="44" customFormat="1" spans="1:8">
      <c r="A194" s="582"/>
      <c r="B194" s="583"/>
      <c r="C194" s="584"/>
      <c r="D194" s="584"/>
      <c r="E194" s="585"/>
      <c r="F194" s="584"/>
      <c r="G194" s="586"/>
      <c r="H194" s="587"/>
    </row>
    <row r="195" s="44" customFormat="1" spans="1:8">
      <c r="A195" s="582"/>
      <c r="B195" s="583"/>
      <c r="C195" s="584"/>
      <c r="D195" s="584"/>
      <c r="E195" s="585"/>
      <c r="F195" s="584"/>
      <c r="G195" s="586"/>
      <c r="H195" s="587"/>
    </row>
    <row r="196" s="44" customFormat="1" spans="1:8">
      <c r="A196" s="582"/>
      <c r="B196" s="583"/>
      <c r="C196" s="584"/>
      <c r="D196" s="584"/>
      <c r="E196" s="585"/>
      <c r="F196" s="584"/>
      <c r="G196" s="586"/>
      <c r="H196" s="587"/>
    </row>
    <row r="197" s="44" customFormat="1" spans="1:8">
      <c r="A197" s="582"/>
      <c r="B197" s="583"/>
      <c r="C197" s="584"/>
      <c r="D197" s="584"/>
      <c r="E197" s="585"/>
      <c r="F197" s="584"/>
      <c r="G197" s="586"/>
      <c r="H197" s="587"/>
    </row>
    <row r="198" s="44" customFormat="1" spans="1:8">
      <c r="A198" s="582"/>
      <c r="B198" s="583"/>
      <c r="C198" s="584"/>
      <c r="D198" s="584"/>
      <c r="E198" s="585"/>
      <c r="F198" s="584"/>
      <c r="G198" s="586"/>
      <c r="H198" s="587"/>
    </row>
    <row r="199" s="44" customFormat="1" spans="1:8">
      <c r="A199" s="582"/>
      <c r="B199" s="583"/>
      <c r="C199" s="584"/>
      <c r="D199" s="584"/>
      <c r="E199" s="585"/>
      <c r="F199" s="584"/>
      <c r="G199" s="586"/>
      <c r="H199" s="587"/>
    </row>
    <row r="200" s="44" customFormat="1" spans="1:8">
      <c r="A200" s="582"/>
      <c r="B200" s="583"/>
      <c r="C200" s="584"/>
      <c r="D200" s="584"/>
      <c r="E200" s="585"/>
      <c r="F200" s="584"/>
      <c r="G200" s="586"/>
      <c r="H200" s="587"/>
    </row>
    <row r="201" s="44" customFormat="1" spans="1:8">
      <c r="A201" s="582"/>
      <c r="B201" s="583"/>
      <c r="C201" s="584"/>
      <c r="D201" s="584"/>
      <c r="E201" s="585"/>
      <c r="F201" s="584"/>
      <c r="G201" s="586"/>
      <c r="H201" s="587"/>
    </row>
    <row r="202" s="44" customFormat="1" spans="1:8">
      <c r="A202" s="582"/>
      <c r="B202" s="583"/>
      <c r="C202" s="584"/>
      <c r="D202" s="584"/>
      <c r="E202" s="585"/>
      <c r="F202" s="584"/>
      <c r="G202" s="586"/>
      <c r="H202" s="587"/>
    </row>
    <row r="203" s="44" customFormat="1" spans="1:8">
      <c r="A203" s="582"/>
      <c r="B203" s="583"/>
      <c r="C203" s="584"/>
      <c r="D203" s="584"/>
      <c r="E203" s="585"/>
      <c r="F203" s="584"/>
      <c r="G203" s="586"/>
      <c r="H203" s="587"/>
    </row>
    <row r="204" s="44" customFormat="1" spans="1:8">
      <c r="A204" s="582"/>
      <c r="B204" s="583"/>
      <c r="C204" s="584"/>
      <c r="D204" s="584"/>
      <c r="E204" s="585"/>
      <c r="F204" s="584"/>
      <c r="G204" s="586"/>
      <c r="H204" s="587"/>
    </row>
    <row r="205" s="44" customFormat="1" spans="1:8">
      <c r="A205" s="582"/>
      <c r="B205" s="583"/>
      <c r="C205" s="584"/>
      <c r="D205" s="584"/>
      <c r="E205" s="585"/>
      <c r="F205" s="584"/>
      <c r="G205" s="586"/>
      <c r="H205" s="587"/>
    </row>
    <row r="206" s="44" customFormat="1" spans="1:8">
      <c r="A206" s="582"/>
      <c r="B206" s="583"/>
      <c r="C206" s="584"/>
      <c r="D206" s="584"/>
      <c r="E206" s="585"/>
      <c r="F206" s="584"/>
      <c r="G206" s="586"/>
      <c r="H206" s="587"/>
    </row>
    <row r="207" s="44" customFormat="1" spans="1:8">
      <c r="A207" s="582"/>
      <c r="B207" s="583"/>
      <c r="C207" s="584"/>
      <c r="D207" s="584"/>
      <c r="E207" s="585"/>
      <c r="F207" s="584"/>
      <c r="G207" s="586"/>
      <c r="H207" s="587"/>
    </row>
    <row r="208" s="44" customFormat="1" spans="1:8">
      <c r="A208" s="582"/>
      <c r="B208" s="583"/>
      <c r="C208" s="584"/>
      <c r="D208" s="584"/>
      <c r="E208" s="585"/>
      <c r="F208" s="584"/>
      <c r="G208" s="586"/>
      <c r="H208" s="587"/>
    </row>
    <row r="209" s="44" customFormat="1" spans="1:8">
      <c r="A209" s="582"/>
      <c r="B209" s="583"/>
      <c r="C209" s="584"/>
      <c r="D209" s="584"/>
      <c r="E209" s="585"/>
      <c r="F209" s="584"/>
      <c r="G209" s="586"/>
      <c r="H209" s="587"/>
    </row>
    <row r="210" s="44" customFormat="1" spans="1:8">
      <c r="A210" s="582"/>
      <c r="B210" s="583"/>
      <c r="C210" s="584"/>
      <c r="D210" s="584"/>
      <c r="E210" s="585"/>
      <c r="F210" s="584"/>
      <c r="G210" s="586"/>
      <c r="H210" s="587"/>
    </row>
    <row r="211" s="44" customFormat="1" spans="1:8">
      <c r="A211" s="582"/>
      <c r="B211" s="583"/>
      <c r="C211" s="584"/>
      <c r="D211" s="584"/>
      <c r="E211" s="585"/>
      <c r="F211" s="584"/>
      <c r="G211" s="586"/>
      <c r="H211" s="587"/>
    </row>
    <row r="212" s="44" customFormat="1" spans="1:8">
      <c r="A212" s="582"/>
      <c r="B212" s="583"/>
      <c r="C212" s="584"/>
      <c r="D212" s="584"/>
      <c r="E212" s="585"/>
      <c r="F212" s="584"/>
      <c r="G212" s="586"/>
      <c r="H212" s="587"/>
    </row>
    <row r="213" s="44" customFormat="1" spans="1:8">
      <c r="A213" s="582"/>
      <c r="B213" s="583"/>
      <c r="C213" s="584"/>
      <c r="D213" s="584"/>
      <c r="E213" s="585"/>
      <c r="F213" s="584"/>
      <c r="G213" s="586"/>
      <c r="H213" s="587"/>
    </row>
    <row r="214" s="44" customFormat="1" spans="1:8">
      <c r="A214" s="582"/>
      <c r="B214" s="583"/>
      <c r="C214" s="584"/>
      <c r="D214" s="584"/>
      <c r="E214" s="585"/>
      <c r="F214" s="584"/>
      <c r="G214" s="586"/>
      <c r="H214" s="587"/>
    </row>
    <row r="215" s="44" customFormat="1" spans="1:8">
      <c r="A215" s="582"/>
      <c r="B215" s="583"/>
      <c r="C215" s="584"/>
      <c r="D215" s="584"/>
      <c r="E215" s="585"/>
      <c r="F215" s="584"/>
      <c r="G215" s="586"/>
      <c r="H215" s="587"/>
    </row>
    <row r="216" s="44" customFormat="1" spans="1:8">
      <c r="A216" s="582"/>
      <c r="B216" s="583"/>
      <c r="C216" s="584"/>
      <c r="D216" s="584"/>
      <c r="E216" s="585"/>
      <c r="F216" s="584"/>
      <c r="G216" s="586"/>
      <c r="H216" s="587"/>
    </row>
    <row r="217" s="44" customFormat="1" spans="1:8">
      <c r="A217" s="582"/>
      <c r="B217" s="583"/>
      <c r="C217" s="584"/>
      <c r="D217" s="584"/>
      <c r="E217" s="585"/>
      <c r="F217" s="584"/>
      <c r="G217" s="586"/>
      <c r="H217" s="587"/>
    </row>
    <row r="218" s="44" customFormat="1" spans="1:8">
      <c r="A218" s="582"/>
      <c r="B218" s="583"/>
      <c r="C218" s="584"/>
      <c r="D218" s="584"/>
      <c r="E218" s="585"/>
      <c r="F218" s="584"/>
      <c r="G218" s="586"/>
      <c r="H218" s="587"/>
    </row>
    <row r="219" s="44" customFormat="1" spans="1:8">
      <c r="A219" s="582"/>
      <c r="B219" s="583"/>
      <c r="C219" s="584"/>
      <c r="D219" s="584"/>
      <c r="E219" s="585"/>
      <c r="F219" s="584"/>
      <c r="G219" s="586"/>
      <c r="H219" s="587"/>
    </row>
    <row r="220" s="44" customFormat="1" spans="1:8">
      <c r="A220" s="582"/>
      <c r="B220" s="583"/>
      <c r="C220" s="584"/>
      <c r="D220" s="584"/>
      <c r="E220" s="585"/>
      <c r="F220" s="584"/>
      <c r="G220" s="586"/>
      <c r="H220" s="587"/>
    </row>
    <row r="221" s="44" customFormat="1" spans="1:8">
      <c r="A221" s="582"/>
      <c r="B221" s="583"/>
      <c r="C221" s="584"/>
      <c r="D221" s="584"/>
      <c r="E221" s="585"/>
      <c r="F221" s="584"/>
      <c r="G221" s="586"/>
      <c r="H221" s="587"/>
    </row>
    <row r="222" s="44" customFormat="1" spans="1:8">
      <c r="A222" s="582"/>
      <c r="B222" s="583"/>
      <c r="C222" s="584"/>
      <c r="D222" s="584"/>
      <c r="E222" s="585"/>
      <c r="F222" s="584"/>
      <c r="G222" s="586"/>
      <c r="H222" s="587"/>
    </row>
    <row r="223" s="44" customFormat="1" spans="1:8">
      <c r="A223" s="582"/>
      <c r="B223" s="583"/>
      <c r="C223" s="584"/>
      <c r="D223" s="584"/>
      <c r="E223" s="585"/>
      <c r="F223" s="584"/>
      <c r="G223" s="586"/>
      <c r="H223" s="587"/>
    </row>
    <row r="224" s="44" customFormat="1" spans="1:8">
      <c r="A224" s="582"/>
      <c r="B224" s="583"/>
      <c r="C224" s="584"/>
      <c r="D224" s="584"/>
      <c r="E224" s="585"/>
      <c r="F224" s="584"/>
      <c r="G224" s="586"/>
      <c r="H224" s="587"/>
    </row>
    <row r="225" s="44" customFormat="1" spans="1:8">
      <c r="A225" s="582"/>
      <c r="B225" s="583"/>
      <c r="C225" s="584"/>
      <c r="D225" s="584"/>
      <c r="E225" s="585"/>
      <c r="F225" s="584"/>
      <c r="G225" s="586"/>
      <c r="H225" s="587"/>
    </row>
    <row r="226" s="44" customFormat="1" spans="1:8">
      <c r="A226" s="582"/>
      <c r="B226" s="583"/>
      <c r="C226" s="584"/>
      <c r="D226" s="584"/>
      <c r="E226" s="585"/>
      <c r="F226" s="584"/>
      <c r="G226" s="586"/>
      <c r="H226" s="587"/>
    </row>
    <row r="227" s="44" customFormat="1" spans="1:8">
      <c r="A227" s="582"/>
      <c r="B227" s="583"/>
      <c r="C227" s="584"/>
      <c r="D227" s="584"/>
      <c r="E227" s="585"/>
      <c r="F227" s="584"/>
      <c r="G227" s="586"/>
      <c r="H227" s="587"/>
    </row>
    <row r="228" s="44" customFormat="1" spans="1:8">
      <c r="A228" s="582"/>
      <c r="B228" s="583"/>
      <c r="C228" s="584"/>
      <c r="D228" s="584"/>
      <c r="E228" s="585"/>
      <c r="F228" s="584"/>
      <c r="G228" s="586"/>
      <c r="H228" s="587"/>
    </row>
    <row r="229" s="44" customFormat="1" spans="1:8">
      <c r="A229" s="582"/>
      <c r="B229" s="583"/>
      <c r="C229" s="584"/>
      <c r="D229" s="584"/>
      <c r="E229" s="585"/>
      <c r="F229" s="584"/>
      <c r="G229" s="586"/>
      <c r="H229" s="587"/>
    </row>
    <row r="230" s="44" customFormat="1" spans="1:8">
      <c r="A230" s="582"/>
      <c r="B230" s="583"/>
      <c r="C230" s="584"/>
      <c r="D230" s="584"/>
      <c r="E230" s="585"/>
      <c r="F230" s="584"/>
      <c r="G230" s="586"/>
      <c r="H230" s="587"/>
    </row>
    <row r="231" s="44" customFormat="1" spans="1:8">
      <c r="A231" s="582"/>
      <c r="B231" s="583"/>
      <c r="C231" s="584"/>
      <c r="D231" s="584"/>
      <c r="E231" s="585"/>
      <c r="F231" s="584"/>
      <c r="G231" s="586"/>
      <c r="H231" s="587"/>
    </row>
    <row r="232" s="44" customFormat="1" spans="1:8">
      <c r="A232" s="582"/>
      <c r="B232" s="583"/>
      <c r="C232" s="584"/>
      <c r="D232" s="584"/>
      <c r="E232" s="585"/>
      <c r="F232" s="584"/>
      <c r="G232" s="586"/>
      <c r="H232" s="587"/>
    </row>
    <row r="233" s="44" customFormat="1" spans="1:8">
      <c r="A233" s="582"/>
      <c r="B233" s="583"/>
      <c r="C233" s="584"/>
      <c r="D233" s="584"/>
      <c r="E233" s="585"/>
      <c r="F233" s="584"/>
      <c r="G233" s="586"/>
      <c r="H233" s="587"/>
    </row>
    <row r="234" s="44" customFormat="1" spans="1:8">
      <c r="A234" s="582"/>
      <c r="B234" s="583"/>
      <c r="C234" s="584"/>
      <c r="D234" s="584"/>
      <c r="E234" s="585"/>
      <c r="F234" s="584"/>
      <c r="G234" s="586"/>
      <c r="H234" s="587"/>
    </row>
    <row r="235" s="44" customFormat="1" spans="1:8">
      <c r="A235" s="582"/>
      <c r="B235" s="583"/>
      <c r="C235" s="584"/>
      <c r="D235" s="584"/>
      <c r="E235" s="585"/>
      <c r="F235" s="584"/>
      <c r="G235" s="586"/>
      <c r="H235" s="587"/>
    </row>
    <row r="236" s="44" customFormat="1" spans="1:8">
      <c r="A236" s="582"/>
      <c r="B236" s="583"/>
      <c r="C236" s="584"/>
      <c r="D236" s="584"/>
      <c r="E236" s="585"/>
      <c r="F236" s="584"/>
      <c r="G236" s="586"/>
      <c r="H236" s="587"/>
    </row>
    <row r="237" s="44" customFormat="1" spans="1:8">
      <c r="A237" s="582"/>
      <c r="B237" s="583"/>
      <c r="C237" s="584"/>
      <c r="D237" s="584"/>
      <c r="E237" s="585"/>
      <c r="F237" s="584"/>
      <c r="G237" s="586"/>
      <c r="H237" s="587"/>
    </row>
    <row r="238" s="44" customFormat="1" spans="1:8">
      <c r="A238" s="582"/>
      <c r="B238" s="583"/>
      <c r="C238" s="584"/>
      <c r="D238" s="584"/>
      <c r="E238" s="585"/>
      <c r="F238" s="584"/>
      <c r="G238" s="586"/>
      <c r="H238" s="587"/>
    </row>
    <row r="239" s="44" customFormat="1" spans="1:8">
      <c r="A239" s="582"/>
      <c r="B239" s="583"/>
      <c r="C239" s="584"/>
      <c r="D239" s="584"/>
      <c r="E239" s="585"/>
      <c r="F239" s="584"/>
      <c r="G239" s="586"/>
      <c r="H239" s="587"/>
    </row>
    <row r="240" s="44" customFormat="1" spans="1:8">
      <c r="A240" s="582"/>
      <c r="B240" s="583"/>
      <c r="C240" s="584"/>
      <c r="D240" s="584"/>
      <c r="E240" s="585"/>
      <c r="F240" s="584"/>
      <c r="G240" s="586"/>
      <c r="H240" s="587"/>
    </row>
    <row r="241" s="44" customFormat="1" spans="1:8">
      <c r="A241" s="582"/>
      <c r="B241" s="583"/>
      <c r="C241" s="584"/>
      <c r="D241" s="584"/>
      <c r="E241" s="585"/>
      <c r="F241" s="584"/>
      <c r="G241" s="586"/>
      <c r="H241" s="587"/>
    </row>
    <row r="242" s="44" customFormat="1" spans="1:8">
      <c r="A242" s="582"/>
      <c r="B242" s="583"/>
      <c r="C242" s="584"/>
      <c r="D242" s="584"/>
      <c r="E242" s="585"/>
      <c r="F242" s="584"/>
      <c r="G242" s="586"/>
      <c r="H242" s="587"/>
    </row>
    <row r="243" s="44" customFormat="1" spans="1:8">
      <c r="A243" s="582"/>
      <c r="B243" s="583"/>
      <c r="C243" s="584"/>
      <c r="D243" s="584"/>
      <c r="E243" s="585"/>
      <c r="F243" s="584"/>
      <c r="G243" s="586"/>
      <c r="H243" s="587"/>
    </row>
    <row r="244" s="44" customFormat="1" spans="1:8">
      <c r="A244" s="582"/>
      <c r="B244" s="583"/>
      <c r="C244" s="584"/>
      <c r="D244" s="584"/>
      <c r="E244" s="585"/>
      <c r="F244" s="584"/>
      <c r="G244" s="586"/>
      <c r="H244" s="587"/>
    </row>
    <row r="245" s="44" customFormat="1" spans="1:8">
      <c r="A245" s="582"/>
      <c r="B245" s="583"/>
      <c r="C245" s="584"/>
      <c r="D245" s="584"/>
      <c r="E245" s="585"/>
      <c r="F245" s="584"/>
      <c r="G245" s="586"/>
      <c r="H245" s="587"/>
    </row>
    <row r="246" s="44" customFormat="1" spans="1:8">
      <c r="A246" s="582"/>
      <c r="B246" s="583"/>
      <c r="C246" s="584"/>
      <c r="D246" s="584"/>
      <c r="E246" s="585"/>
      <c r="F246" s="584"/>
      <c r="G246" s="586"/>
      <c r="H246" s="587"/>
    </row>
    <row r="247" s="44" customFormat="1" spans="1:8">
      <c r="A247" s="582"/>
      <c r="B247" s="583"/>
      <c r="C247" s="584"/>
      <c r="D247" s="584"/>
      <c r="E247" s="585"/>
      <c r="F247" s="584"/>
      <c r="G247" s="586"/>
      <c r="H247" s="587"/>
    </row>
    <row r="248" s="44" customFormat="1" spans="1:8">
      <c r="A248" s="582"/>
      <c r="B248" s="583"/>
      <c r="C248" s="584"/>
      <c r="D248" s="584"/>
      <c r="E248" s="585"/>
      <c r="F248" s="584"/>
      <c r="G248" s="586"/>
      <c r="H248" s="587"/>
    </row>
    <row r="249" s="44" customFormat="1" spans="1:8">
      <c r="A249" s="582"/>
      <c r="B249" s="583"/>
      <c r="C249" s="584"/>
      <c r="D249" s="584"/>
      <c r="E249" s="585"/>
      <c r="F249" s="584"/>
      <c r="G249" s="586"/>
      <c r="H249" s="587"/>
    </row>
    <row r="250" s="44" customFormat="1" spans="1:8">
      <c r="A250" s="582"/>
      <c r="B250" s="583"/>
      <c r="C250" s="584"/>
      <c r="D250" s="584"/>
      <c r="E250" s="585"/>
      <c r="F250" s="584"/>
      <c r="G250" s="586"/>
      <c r="H250" s="587"/>
    </row>
    <row r="251" s="44" customFormat="1" spans="1:8">
      <c r="A251" s="582"/>
      <c r="B251" s="583"/>
      <c r="C251" s="584"/>
      <c r="D251" s="584"/>
      <c r="E251" s="585"/>
      <c r="F251" s="584"/>
      <c r="G251" s="586"/>
      <c r="H251" s="587"/>
    </row>
    <row r="252" s="44" customFormat="1" spans="1:8">
      <c r="A252" s="582"/>
      <c r="B252" s="583"/>
      <c r="C252" s="584"/>
      <c r="D252" s="584"/>
      <c r="E252" s="585"/>
      <c r="F252" s="584"/>
      <c r="G252" s="586"/>
      <c r="H252" s="587"/>
    </row>
    <row r="253" s="44" customFormat="1" spans="1:8">
      <c r="A253" s="582"/>
      <c r="B253" s="583"/>
      <c r="C253" s="584"/>
      <c r="D253" s="584"/>
      <c r="E253" s="585"/>
      <c r="F253" s="584"/>
      <c r="G253" s="586"/>
      <c r="H253" s="587"/>
    </row>
    <row r="254" s="44" customFormat="1" spans="1:8">
      <c r="A254" s="582"/>
      <c r="B254" s="583"/>
      <c r="C254" s="584"/>
      <c r="D254" s="584"/>
      <c r="E254" s="585"/>
      <c r="F254" s="584"/>
      <c r="G254" s="586"/>
      <c r="H254" s="587"/>
    </row>
    <row r="255" s="44" customFormat="1" spans="1:8">
      <c r="A255" s="582"/>
      <c r="B255" s="583"/>
      <c r="C255" s="584"/>
      <c r="D255" s="584"/>
      <c r="E255" s="585"/>
      <c r="F255" s="584"/>
      <c r="G255" s="586"/>
      <c r="H255" s="587"/>
    </row>
    <row r="256" s="44" customFormat="1" spans="1:8">
      <c r="A256" s="582"/>
      <c r="B256" s="583"/>
      <c r="C256" s="584"/>
      <c r="D256" s="584"/>
      <c r="E256" s="585"/>
      <c r="F256" s="584"/>
      <c r="G256" s="586"/>
      <c r="H256" s="587"/>
    </row>
    <row r="257" s="44" customFormat="1" spans="1:8">
      <c r="A257" s="582"/>
      <c r="B257" s="583"/>
      <c r="C257" s="584"/>
      <c r="D257" s="584"/>
      <c r="E257" s="585"/>
      <c r="F257" s="584"/>
      <c r="G257" s="586"/>
      <c r="H257" s="587"/>
    </row>
    <row r="258" s="44" customFormat="1" spans="1:8">
      <c r="A258" s="582"/>
      <c r="B258" s="583"/>
      <c r="C258" s="584"/>
      <c r="D258" s="584"/>
      <c r="E258" s="585"/>
      <c r="F258" s="584"/>
      <c r="G258" s="586"/>
      <c r="H258" s="587"/>
    </row>
    <row r="259" s="44" customFormat="1" spans="1:8">
      <c r="A259" s="582"/>
      <c r="B259" s="583"/>
      <c r="C259" s="584"/>
      <c r="D259" s="584"/>
      <c r="E259" s="585"/>
      <c r="F259" s="584"/>
      <c r="G259" s="586"/>
      <c r="H259" s="587"/>
    </row>
    <row r="260" s="44" customFormat="1" spans="1:8">
      <c r="A260" s="582"/>
      <c r="B260" s="583"/>
      <c r="C260" s="584"/>
      <c r="D260" s="584"/>
      <c r="E260" s="585"/>
      <c r="F260" s="584"/>
      <c r="G260" s="586"/>
      <c r="H260" s="587"/>
    </row>
    <row r="261" s="44" customFormat="1" spans="1:8">
      <c r="A261" s="582"/>
      <c r="B261" s="583"/>
      <c r="C261" s="584"/>
      <c r="D261" s="584"/>
      <c r="E261" s="585"/>
      <c r="F261" s="584"/>
      <c r="G261" s="586"/>
      <c r="H261" s="587"/>
    </row>
    <row r="262" s="44" customFormat="1" spans="1:8">
      <c r="A262" s="582"/>
      <c r="B262" s="583"/>
      <c r="C262" s="584"/>
      <c r="D262" s="584"/>
      <c r="E262" s="585"/>
      <c r="F262" s="584"/>
      <c r="G262" s="586"/>
      <c r="H262" s="587"/>
    </row>
    <row r="263" s="44" customFormat="1" spans="1:8">
      <c r="A263" s="582"/>
      <c r="B263" s="583"/>
      <c r="C263" s="584"/>
      <c r="D263" s="584"/>
      <c r="E263" s="585"/>
      <c r="F263" s="584"/>
      <c r="G263" s="586"/>
      <c r="H263" s="587"/>
    </row>
    <row r="264" s="44" customFormat="1" spans="1:8">
      <c r="A264" s="582"/>
      <c r="B264" s="583"/>
      <c r="C264" s="584"/>
      <c r="D264" s="584"/>
      <c r="E264" s="585"/>
      <c r="F264" s="584"/>
      <c r="G264" s="586"/>
      <c r="H264" s="587"/>
    </row>
    <row r="265" s="44" customFormat="1" spans="1:8">
      <c r="A265" s="582"/>
      <c r="B265" s="583"/>
      <c r="C265" s="584"/>
      <c r="D265" s="584"/>
      <c r="E265" s="585"/>
      <c r="F265" s="584"/>
      <c r="G265" s="586"/>
      <c r="H265" s="587"/>
    </row>
    <row r="266" s="44" customFormat="1" spans="1:8">
      <c r="A266" s="582"/>
      <c r="B266" s="583"/>
      <c r="C266" s="584"/>
      <c r="D266" s="584"/>
      <c r="E266" s="585"/>
      <c r="F266" s="584"/>
      <c r="G266" s="586"/>
      <c r="H266" s="587"/>
    </row>
    <row r="267" s="44" customFormat="1" spans="1:8">
      <c r="A267" s="582"/>
      <c r="B267" s="583"/>
      <c r="C267" s="584"/>
      <c r="D267" s="584"/>
      <c r="E267" s="585"/>
      <c r="F267" s="584"/>
      <c r="G267" s="586"/>
      <c r="H267" s="587"/>
    </row>
    <row r="268" s="44" customFormat="1" spans="1:8">
      <c r="A268" s="582"/>
      <c r="B268" s="583"/>
      <c r="C268" s="584"/>
      <c r="D268" s="584"/>
      <c r="E268" s="585"/>
      <c r="F268" s="584"/>
      <c r="G268" s="586"/>
      <c r="H268" s="587"/>
    </row>
    <row r="269" s="44" customFormat="1" spans="1:8">
      <c r="A269" s="582"/>
      <c r="B269" s="583"/>
      <c r="C269" s="584"/>
      <c r="D269" s="584"/>
      <c r="E269" s="585"/>
      <c r="F269" s="584"/>
      <c r="G269" s="586"/>
      <c r="H269" s="587"/>
    </row>
    <row r="270" s="44" customFormat="1" spans="1:8">
      <c r="A270" s="582"/>
      <c r="B270" s="583"/>
      <c r="C270" s="584"/>
      <c r="D270" s="584"/>
      <c r="E270" s="585"/>
      <c r="F270" s="584"/>
      <c r="G270" s="586"/>
      <c r="H270" s="587"/>
    </row>
    <row r="271" s="44" customFormat="1" spans="1:8">
      <c r="A271" s="582"/>
      <c r="B271" s="583"/>
      <c r="C271" s="584"/>
      <c r="D271" s="584"/>
      <c r="E271" s="585"/>
      <c r="F271" s="584"/>
      <c r="G271" s="586"/>
      <c r="H271" s="587"/>
    </row>
    <row r="272" s="44" customFormat="1" spans="1:8">
      <c r="A272" s="582"/>
      <c r="B272" s="583"/>
      <c r="C272" s="584"/>
      <c r="D272" s="584"/>
      <c r="E272" s="585"/>
      <c r="F272" s="584"/>
      <c r="G272" s="586"/>
      <c r="H272" s="587"/>
    </row>
    <row r="273" s="44" customFormat="1" spans="1:8">
      <c r="A273" s="582"/>
      <c r="B273" s="583"/>
      <c r="C273" s="584"/>
      <c r="D273" s="584"/>
      <c r="E273" s="585"/>
      <c r="F273" s="584"/>
      <c r="G273" s="586"/>
      <c r="H273" s="587"/>
    </row>
    <row r="274" s="44" customFormat="1" spans="1:8">
      <c r="A274" s="582"/>
      <c r="B274" s="583"/>
      <c r="C274" s="584"/>
      <c r="D274" s="584"/>
      <c r="E274" s="585"/>
      <c r="F274" s="584"/>
      <c r="G274" s="586"/>
      <c r="H274" s="587"/>
    </row>
    <row r="275" s="44" customFormat="1" spans="1:8">
      <c r="A275" s="582"/>
      <c r="B275" s="583"/>
      <c r="C275" s="584"/>
      <c r="D275" s="584"/>
      <c r="E275" s="585"/>
      <c r="F275" s="584"/>
      <c r="G275" s="586"/>
      <c r="H275" s="587"/>
    </row>
    <row r="276" s="44" customFormat="1" spans="1:8">
      <c r="A276" s="582"/>
      <c r="B276" s="583"/>
      <c r="C276" s="584"/>
      <c r="D276" s="584"/>
      <c r="E276" s="585"/>
      <c r="F276" s="584"/>
      <c r="G276" s="586"/>
      <c r="H276" s="587"/>
    </row>
    <row r="277" s="44" customFormat="1" spans="1:8">
      <c r="A277" s="582"/>
      <c r="B277" s="583"/>
      <c r="C277" s="584"/>
      <c r="D277" s="584"/>
      <c r="E277" s="585"/>
      <c r="F277" s="584"/>
      <c r="G277" s="586"/>
      <c r="H277" s="587"/>
    </row>
    <row r="278" s="44" customFormat="1" spans="1:8">
      <c r="A278" s="582"/>
      <c r="B278" s="583"/>
      <c r="C278" s="584"/>
      <c r="D278" s="584"/>
      <c r="E278" s="585"/>
      <c r="F278" s="584"/>
      <c r="G278" s="586"/>
      <c r="H278" s="587"/>
    </row>
    <row r="279" s="44" customFormat="1" spans="1:8">
      <c r="A279" s="582"/>
      <c r="B279" s="583"/>
      <c r="C279" s="584"/>
      <c r="D279" s="584"/>
      <c r="E279" s="585"/>
      <c r="F279" s="584"/>
      <c r="G279" s="586"/>
      <c r="H279" s="587"/>
    </row>
    <row r="280" s="44" customFormat="1" spans="1:8">
      <c r="A280" s="582"/>
      <c r="B280" s="583"/>
      <c r="C280" s="584"/>
      <c r="D280" s="584"/>
      <c r="E280" s="585"/>
      <c r="F280" s="584"/>
      <c r="G280" s="586"/>
      <c r="H280" s="587"/>
    </row>
    <row r="281" s="44" customFormat="1" spans="1:8">
      <c r="A281" s="582"/>
      <c r="B281" s="583"/>
      <c r="C281" s="584"/>
      <c r="D281" s="584"/>
      <c r="E281" s="585"/>
      <c r="F281" s="584"/>
      <c r="G281" s="586"/>
      <c r="H281" s="587"/>
    </row>
    <row r="282" s="44" customFormat="1" spans="1:8">
      <c r="A282" s="582"/>
      <c r="B282" s="583"/>
      <c r="C282" s="584"/>
      <c r="D282" s="584"/>
      <c r="E282" s="585"/>
      <c r="F282" s="584"/>
      <c r="G282" s="586"/>
      <c r="H282" s="587"/>
    </row>
    <row r="283" s="44" customFormat="1" spans="1:8">
      <c r="A283" s="582"/>
      <c r="B283" s="583"/>
      <c r="C283" s="584"/>
      <c r="D283" s="584"/>
      <c r="E283" s="585"/>
      <c r="F283" s="584"/>
      <c r="G283" s="586"/>
      <c r="H283" s="587"/>
    </row>
    <row r="284" s="44" customFormat="1" spans="1:8">
      <c r="A284" s="582"/>
      <c r="B284" s="583"/>
      <c r="C284" s="584"/>
      <c r="D284" s="584"/>
      <c r="E284" s="585"/>
      <c r="F284" s="584"/>
      <c r="G284" s="586"/>
      <c r="H284" s="587"/>
    </row>
    <row r="285" s="44" customFormat="1" spans="1:8">
      <c r="A285" s="582"/>
      <c r="B285" s="583"/>
      <c r="C285" s="584"/>
      <c r="D285" s="584"/>
      <c r="E285" s="585"/>
      <c r="F285" s="584"/>
      <c r="G285" s="586"/>
      <c r="H285" s="587"/>
    </row>
    <row r="286" s="44" customFormat="1" spans="1:8">
      <c r="A286" s="582"/>
      <c r="B286" s="583"/>
      <c r="C286" s="584"/>
      <c r="D286" s="584"/>
      <c r="E286" s="585"/>
      <c r="F286" s="584"/>
      <c r="G286" s="586"/>
      <c r="H286" s="587"/>
    </row>
    <row r="287" s="44" customFormat="1" spans="1:8">
      <c r="A287" s="582"/>
      <c r="B287" s="583"/>
      <c r="C287" s="584"/>
      <c r="D287" s="584"/>
      <c r="E287" s="585"/>
      <c r="F287" s="584"/>
      <c r="G287" s="586"/>
      <c r="H287" s="587"/>
    </row>
    <row r="288" s="44" customFormat="1" spans="1:8">
      <c r="A288" s="582"/>
      <c r="B288" s="583"/>
      <c r="C288" s="584"/>
      <c r="D288" s="584"/>
      <c r="E288" s="585"/>
      <c r="F288" s="584"/>
      <c r="G288" s="586"/>
      <c r="H288" s="587"/>
    </row>
    <row r="289" s="44" customFormat="1" spans="1:8">
      <c r="A289" s="582"/>
      <c r="B289" s="583"/>
      <c r="C289" s="584"/>
      <c r="D289" s="584"/>
      <c r="E289" s="585"/>
      <c r="F289" s="584"/>
      <c r="G289" s="586"/>
      <c r="H289" s="587"/>
    </row>
    <row r="290" s="44" customFormat="1" spans="1:8">
      <c r="A290" s="582"/>
      <c r="B290" s="583"/>
      <c r="C290" s="584"/>
      <c r="D290" s="584"/>
      <c r="E290" s="585"/>
      <c r="F290" s="584"/>
      <c r="G290" s="586"/>
      <c r="H290" s="587"/>
    </row>
    <row r="291" s="44" customFormat="1" spans="1:8">
      <c r="A291" s="582"/>
      <c r="B291" s="583"/>
      <c r="C291" s="584"/>
      <c r="D291" s="584"/>
      <c r="E291" s="585"/>
      <c r="F291" s="584"/>
      <c r="G291" s="586"/>
      <c r="H291" s="587"/>
    </row>
    <row r="292" s="44" customFormat="1" spans="1:8">
      <c r="A292" s="582"/>
      <c r="B292" s="583"/>
      <c r="C292" s="584"/>
      <c r="D292" s="584"/>
      <c r="E292" s="585"/>
      <c r="F292" s="584"/>
      <c r="G292" s="586"/>
      <c r="H292" s="587"/>
    </row>
    <row r="293" s="44" customFormat="1" spans="1:8">
      <c r="A293" s="582"/>
      <c r="B293" s="583"/>
      <c r="C293" s="584"/>
      <c r="D293" s="584"/>
      <c r="E293" s="585"/>
      <c r="F293" s="584"/>
      <c r="G293" s="586"/>
      <c r="H293" s="587"/>
    </row>
    <row r="294" s="44" customFormat="1" spans="1:8">
      <c r="A294" s="582"/>
      <c r="B294" s="583"/>
      <c r="C294" s="584"/>
      <c r="D294" s="584"/>
      <c r="E294" s="585"/>
      <c r="F294" s="584"/>
      <c r="G294" s="586"/>
      <c r="H294" s="587"/>
    </row>
    <row r="295" s="44" customFormat="1" spans="1:8">
      <c r="A295" s="582"/>
      <c r="B295" s="583"/>
      <c r="C295" s="584"/>
      <c r="D295" s="584"/>
      <c r="E295" s="585"/>
      <c r="F295" s="584"/>
      <c r="G295" s="586"/>
      <c r="H295" s="587"/>
    </row>
    <row r="296" s="44" customFormat="1" spans="1:8">
      <c r="A296" s="582"/>
      <c r="B296" s="583"/>
      <c r="C296" s="584"/>
      <c r="D296" s="584"/>
      <c r="E296" s="585"/>
      <c r="F296" s="584"/>
      <c r="G296" s="586"/>
      <c r="H296" s="587"/>
    </row>
    <row r="297" s="44" customFormat="1" spans="1:8">
      <c r="A297" s="582"/>
      <c r="B297" s="583"/>
      <c r="C297" s="584"/>
      <c r="D297" s="584"/>
      <c r="E297" s="585"/>
      <c r="F297" s="584"/>
      <c r="G297" s="586"/>
      <c r="H297" s="587"/>
    </row>
    <row r="298" s="44" customFormat="1" spans="1:8">
      <c r="A298" s="582"/>
      <c r="B298" s="583"/>
      <c r="C298" s="584"/>
      <c r="D298" s="584"/>
      <c r="E298" s="585"/>
      <c r="F298" s="584"/>
      <c r="G298" s="586"/>
      <c r="H298" s="587"/>
    </row>
    <row r="299" s="44" customFormat="1" spans="1:8">
      <c r="A299" s="582"/>
      <c r="B299" s="583"/>
      <c r="C299" s="584"/>
      <c r="D299" s="584"/>
      <c r="E299" s="585"/>
      <c r="F299" s="584"/>
      <c r="G299" s="586"/>
      <c r="H299" s="587"/>
    </row>
    <row r="300" s="44" customFormat="1" spans="1:8">
      <c r="A300" s="582"/>
      <c r="B300" s="583"/>
      <c r="C300" s="584"/>
      <c r="D300" s="584"/>
      <c r="E300" s="585"/>
      <c r="F300" s="584"/>
      <c r="G300" s="586"/>
      <c r="H300" s="587"/>
    </row>
    <row r="301" s="44" customFormat="1" spans="1:8">
      <c r="A301" s="582"/>
      <c r="B301" s="583"/>
      <c r="C301" s="584"/>
      <c r="D301" s="584"/>
      <c r="E301" s="585"/>
      <c r="F301" s="584"/>
      <c r="G301" s="586"/>
      <c r="H301" s="587"/>
    </row>
    <row r="302" s="44" customFormat="1" spans="1:8">
      <c r="A302" s="582"/>
      <c r="B302" s="583"/>
      <c r="C302" s="584"/>
      <c r="D302" s="584"/>
      <c r="E302" s="585"/>
      <c r="F302" s="584"/>
      <c r="G302" s="586"/>
      <c r="H302" s="587"/>
    </row>
    <row r="303" s="44" customFormat="1" spans="1:8">
      <c r="A303" s="582"/>
      <c r="B303" s="583"/>
      <c r="C303" s="584"/>
      <c r="D303" s="584"/>
      <c r="E303" s="585"/>
      <c r="F303" s="584"/>
      <c r="G303" s="586"/>
      <c r="H303" s="587"/>
    </row>
    <row r="304" s="44" customFormat="1" spans="1:8">
      <c r="A304" s="582"/>
      <c r="B304" s="583"/>
      <c r="C304" s="584"/>
      <c r="D304" s="584"/>
      <c r="E304" s="585"/>
      <c r="F304" s="584"/>
      <c r="G304" s="586"/>
      <c r="H304" s="587"/>
    </row>
    <row r="305" s="44" customFormat="1" spans="1:8">
      <c r="A305" s="582"/>
      <c r="B305" s="583"/>
      <c r="C305" s="584"/>
      <c r="D305" s="584"/>
      <c r="E305" s="585"/>
      <c r="F305" s="584"/>
      <c r="G305" s="586"/>
      <c r="H305" s="587"/>
    </row>
    <row r="306" s="44" customFormat="1" spans="1:8">
      <c r="A306" s="582"/>
      <c r="B306" s="583"/>
      <c r="C306" s="584"/>
      <c r="D306" s="584"/>
      <c r="E306" s="585"/>
      <c r="F306" s="584"/>
      <c r="G306" s="586"/>
      <c r="H306" s="587"/>
    </row>
    <row r="307" s="44" customFormat="1" spans="1:8">
      <c r="A307" s="582"/>
      <c r="B307" s="583"/>
      <c r="C307" s="584"/>
      <c r="D307" s="584"/>
      <c r="E307" s="585"/>
      <c r="F307" s="584"/>
      <c r="G307" s="586"/>
      <c r="H307" s="587"/>
    </row>
    <row r="308" s="44" customFormat="1" spans="1:8">
      <c r="A308" s="582"/>
      <c r="B308" s="583"/>
      <c r="C308" s="584"/>
      <c r="D308" s="584"/>
      <c r="E308" s="585"/>
      <c r="F308" s="584"/>
      <c r="G308" s="586"/>
      <c r="H308" s="587"/>
    </row>
    <row r="309" s="44" customFormat="1" spans="1:8">
      <c r="A309" s="582"/>
      <c r="B309" s="583"/>
      <c r="C309" s="584"/>
      <c r="D309" s="584"/>
      <c r="E309" s="585"/>
      <c r="F309" s="584"/>
      <c r="G309" s="586"/>
      <c r="H309" s="587"/>
    </row>
    <row r="310" s="44" customFormat="1" spans="1:8">
      <c r="A310" s="582"/>
      <c r="B310" s="583"/>
      <c r="C310" s="584"/>
      <c r="D310" s="584"/>
      <c r="E310" s="585"/>
      <c r="F310" s="584"/>
      <c r="G310" s="586"/>
      <c r="H310" s="587"/>
    </row>
    <row r="311" s="44" customFormat="1" spans="1:8">
      <c r="A311" s="582"/>
      <c r="B311" s="583"/>
      <c r="C311" s="584"/>
      <c r="D311" s="584"/>
      <c r="E311" s="585"/>
      <c r="F311" s="584"/>
      <c r="G311" s="586"/>
      <c r="H311" s="587"/>
    </row>
    <row r="312" s="44" customFormat="1" spans="1:8">
      <c r="A312" s="582"/>
      <c r="B312" s="583"/>
      <c r="C312" s="584"/>
      <c r="D312" s="584"/>
      <c r="E312" s="585"/>
      <c r="F312" s="584"/>
      <c r="G312" s="586"/>
      <c r="H312" s="587"/>
    </row>
    <row r="313" s="44" customFormat="1" spans="1:8">
      <c r="A313" s="582"/>
      <c r="B313" s="583"/>
      <c r="C313" s="584"/>
      <c r="D313" s="584"/>
      <c r="E313" s="585"/>
      <c r="F313" s="584"/>
      <c r="G313" s="586"/>
      <c r="H313" s="587"/>
    </row>
    <row r="314" s="44" customFormat="1" spans="1:8">
      <c r="A314" s="582"/>
      <c r="B314" s="583"/>
      <c r="C314" s="584"/>
      <c r="D314" s="584"/>
      <c r="E314" s="585"/>
      <c r="F314" s="584"/>
      <c r="G314" s="586"/>
      <c r="H314" s="587"/>
    </row>
    <row r="315" s="44" customFormat="1" spans="1:8">
      <c r="A315" s="582"/>
      <c r="B315" s="583"/>
      <c r="C315" s="584"/>
      <c r="D315" s="584"/>
      <c r="E315" s="585"/>
      <c r="F315" s="584"/>
      <c r="G315" s="586"/>
      <c r="H315" s="587"/>
    </row>
    <row r="316" s="44" customFormat="1" spans="1:8">
      <c r="A316" s="582"/>
      <c r="B316" s="583"/>
      <c r="C316" s="584"/>
      <c r="D316" s="584"/>
      <c r="E316" s="585"/>
      <c r="F316" s="584"/>
      <c r="G316" s="586"/>
      <c r="H316" s="587"/>
    </row>
    <row r="317" s="44" customFormat="1" spans="1:8">
      <c r="A317" s="582"/>
      <c r="B317" s="583"/>
      <c r="C317" s="584"/>
      <c r="D317" s="584"/>
      <c r="E317" s="585"/>
      <c r="F317" s="584"/>
      <c r="G317" s="586"/>
      <c r="H317" s="587"/>
    </row>
    <row r="318" s="44" customFormat="1" spans="1:8">
      <c r="A318" s="582"/>
      <c r="B318" s="583"/>
      <c r="C318" s="584"/>
      <c r="D318" s="584"/>
      <c r="E318" s="585"/>
      <c r="F318" s="584"/>
      <c r="G318" s="586"/>
      <c r="H318" s="587"/>
    </row>
    <row r="319" s="44" customFormat="1" spans="1:8">
      <c r="A319" s="582"/>
      <c r="B319" s="583"/>
      <c r="C319" s="584"/>
      <c r="D319" s="584"/>
      <c r="E319" s="585"/>
      <c r="F319" s="584"/>
      <c r="G319" s="586"/>
      <c r="H319" s="587"/>
    </row>
    <row r="320" s="44" customFormat="1" spans="1:8">
      <c r="A320" s="582"/>
      <c r="B320" s="583"/>
      <c r="C320" s="584"/>
      <c r="D320" s="584"/>
      <c r="E320" s="585"/>
      <c r="F320" s="584"/>
      <c r="G320" s="586"/>
      <c r="H320" s="587"/>
    </row>
    <row r="321" s="44" customFormat="1" spans="1:8">
      <c r="A321" s="582"/>
      <c r="B321" s="583"/>
      <c r="C321" s="584"/>
      <c r="D321" s="584"/>
      <c r="E321" s="585"/>
      <c r="F321" s="584"/>
      <c r="G321" s="586"/>
      <c r="H321" s="587"/>
    </row>
    <row r="322" s="44" customFormat="1" spans="1:8">
      <c r="A322" s="582"/>
      <c r="B322" s="583"/>
      <c r="C322" s="584"/>
      <c r="D322" s="584"/>
      <c r="E322" s="585"/>
      <c r="F322" s="584"/>
      <c r="G322" s="586"/>
      <c r="H322" s="587"/>
    </row>
    <row r="323" s="44" customFormat="1" spans="1:8">
      <c r="A323" s="582"/>
      <c r="B323" s="583"/>
      <c r="C323" s="584"/>
      <c r="D323" s="584"/>
      <c r="E323" s="585"/>
      <c r="F323" s="584"/>
      <c r="G323" s="586"/>
      <c r="H323" s="587"/>
    </row>
    <row r="324" s="44" customFormat="1" spans="1:8">
      <c r="A324" s="582"/>
      <c r="B324" s="583"/>
      <c r="C324" s="584"/>
      <c r="D324" s="584"/>
      <c r="E324" s="585"/>
      <c r="F324" s="584"/>
      <c r="G324" s="586"/>
      <c r="H324" s="587"/>
    </row>
    <row r="325" s="44" customFormat="1" spans="1:8">
      <c r="A325" s="582"/>
      <c r="B325" s="583"/>
      <c r="C325" s="584"/>
      <c r="D325" s="584"/>
      <c r="E325" s="585"/>
      <c r="F325" s="584"/>
      <c r="G325" s="586"/>
      <c r="H325" s="587"/>
    </row>
    <row r="326" s="44" customFormat="1" spans="1:8">
      <c r="A326" s="582"/>
      <c r="B326" s="583"/>
      <c r="C326" s="584"/>
      <c r="D326" s="584"/>
      <c r="E326" s="585"/>
      <c r="F326" s="584"/>
      <c r="G326" s="586"/>
      <c r="H326" s="587"/>
    </row>
    <row r="327" s="44" customFormat="1" spans="1:8">
      <c r="A327" s="582"/>
      <c r="B327" s="583"/>
      <c r="C327" s="584"/>
      <c r="D327" s="584"/>
      <c r="E327" s="585"/>
      <c r="F327" s="584"/>
      <c r="G327" s="586"/>
      <c r="H327" s="587"/>
    </row>
    <row r="328" s="44" customFormat="1" spans="1:8">
      <c r="A328" s="582"/>
      <c r="B328" s="583"/>
      <c r="C328" s="584"/>
      <c r="D328" s="584"/>
      <c r="E328" s="585"/>
      <c r="F328" s="584"/>
      <c r="G328" s="586"/>
      <c r="H328" s="587"/>
    </row>
    <row r="329" s="44" customFormat="1" spans="1:8">
      <c r="A329" s="582"/>
      <c r="B329" s="583"/>
      <c r="C329" s="584"/>
      <c r="D329" s="584"/>
      <c r="E329" s="585"/>
      <c r="F329" s="584"/>
      <c r="G329" s="586"/>
      <c r="H329" s="587"/>
    </row>
    <row r="330" s="44" customFormat="1" spans="1:8">
      <c r="A330" s="582"/>
      <c r="B330" s="583"/>
      <c r="C330" s="584"/>
      <c r="D330" s="584"/>
      <c r="E330" s="585"/>
      <c r="F330" s="584"/>
      <c r="G330" s="586"/>
      <c r="H330" s="587"/>
    </row>
    <row r="331" s="44" customFormat="1" spans="1:8">
      <c r="A331" s="582"/>
      <c r="B331" s="583"/>
      <c r="C331" s="584"/>
      <c r="D331" s="584"/>
      <c r="E331" s="585"/>
      <c r="F331" s="584"/>
      <c r="G331" s="586"/>
      <c r="H331" s="587"/>
    </row>
    <row r="332" s="44" customFormat="1" spans="1:8">
      <c r="A332" s="582"/>
      <c r="B332" s="583"/>
      <c r="C332" s="584"/>
      <c r="D332" s="584"/>
      <c r="E332" s="585"/>
      <c r="F332" s="584"/>
      <c r="G332" s="586"/>
      <c r="H332" s="587"/>
    </row>
    <row r="333" s="44" customFormat="1" spans="1:8">
      <c r="A333" s="582"/>
      <c r="B333" s="583"/>
      <c r="C333" s="584"/>
      <c r="D333" s="584"/>
      <c r="E333" s="585"/>
      <c r="F333" s="584"/>
      <c r="G333" s="586"/>
      <c r="H333" s="587"/>
    </row>
    <row r="334" s="44" customFormat="1" spans="1:8">
      <c r="A334" s="582"/>
      <c r="B334" s="583"/>
      <c r="C334" s="584"/>
      <c r="D334" s="584"/>
      <c r="E334" s="585"/>
      <c r="F334" s="584"/>
      <c r="G334" s="586"/>
      <c r="H334" s="587"/>
    </row>
    <row r="335" s="44" customFormat="1" spans="1:8">
      <c r="A335" s="582"/>
      <c r="B335" s="583"/>
      <c r="C335" s="584"/>
      <c r="D335" s="584"/>
      <c r="E335" s="585"/>
      <c r="F335" s="584"/>
      <c r="G335" s="586"/>
      <c r="H335" s="587"/>
    </row>
    <row r="336" s="44" customFormat="1" spans="1:8">
      <c r="A336" s="582"/>
      <c r="B336" s="583"/>
      <c r="C336" s="584"/>
      <c r="D336" s="584"/>
      <c r="E336" s="585"/>
      <c r="F336" s="584"/>
      <c r="G336" s="586"/>
      <c r="H336" s="587"/>
    </row>
    <row r="337" s="44" customFormat="1" spans="1:8">
      <c r="A337" s="582"/>
      <c r="B337" s="583"/>
      <c r="C337" s="584"/>
      <c r="D337" s="584"/>
      <c r="E337" s="585"/>
      <c r="F337" s="584"/>
      <c r="G337" s="586"/>
      <c r="H337" s="587"/>
    </row>
    <row r="338" s="44" customFormat="1" spans="1:8">
      <c r="A338" s="582"/>
      <c r="B338" s="583"/>
      <c r="C338" s="584"/>
      <c r="D338" s="584"/>
      <c r="E338" s="585"/>
      <c r="F338" s="584"/>
      <c r="G338" s="586"/>
      <c r="H338" s="587"/>
    </row>
    <row r="339" s="44" customFormat="1" spans="1:8">
      <c r="A339" s="582"/>
      <c r="B339" s="583"/>
      <c r="C339" s="584"/>
      <c r="D339" s="584"/>
      <c r="E339" s="585"/>
      <c r="F339" s="584"/>
      <c r="G339" s="586"/>
      <c r="H339" s="587"/>
    </row>
    <row r="340" s="44" customFormat="1" spans="1:8">
      <c r="A340" s="582"/>
      <c r="B340" s="583"/>
      <c r="C340" s="584"/>
      <c r="D340" s="584"/>
      <c r="E340" s="585"/>
      <c r="F340" s="584"/>
      <c r="G340" s="586"/>
      <c r="H340" s="587"/>
    </row>
    <row r="341" s="44" customFormat="1" spans="1:8">
      <c r="A341" s="582"/>
      <c r="B341" s="583"/>
      <c r="C341" s="584"/>
      <c r="D341" s="584"/>
      <c r="E341" s="585"/>
      <c r="F341" s="584"/>
      <c r="G341" s="586"/>
      <c r="H341" s="587"/>
    </row>
    <row r="342" s="44" customFormat="1" spans="1:8">
      <c r="A342" s="582"/>
      <c r="B342" s="583"/>
      <c r="C342" s="584"/>
      <c r="D342" s="584"/>
      <c r="E342" s="585"/>
      <c r="F342" s="584"/>
      <c r="G342" s="586"/>
      <c r="H342" s="587"/>
    </row>
    <row r="343" s="44" customFormat="1" spans="1:8">
      <c r="A343" s="582"/>
      <c r="B343" s="583"/>
      <c r="C343" s="584"/>
      <c r="D343" s="584"/>
      <c r="E343" s="585"/>
      <c r="F343" s="584"/>
      <c r="G343" s="586"/>
      <c r="H343" s="587"/>
    </row>
    <row r="344" s="44" customFormat="1" spans="1:8">
      <c r="A344" s="582"/>
      <c r="B344" s="583"/>
      <c r="C344" s="584"/>
      <c r="D344" s="584"/>
      <c r="E344" s="585"/>
      <c r="F344" s="584"/>
      <c r="G344" s="586"/>
      <c r="H344" s="587"/>
    </row>
    <row r="345" s="44" customFormat="1" spans="1:8">
      <c r="A345" s="582"/>
      <c r="B345" s="583"/>
      <c r="C345" s="584"/>
      <c r="D345" s="584"/>
      <c r="E345" s="585"/>
      <c r="F345" s="584"/>
      <c r="G345" s="586"/>
      <c r="H345" s="587"/>
    </row>
    <row r="346" s="44" customFormat="1" spans="1:8">
      <c r="A346" s="582"/>
      <c r="B346" s="583"/>
      <c r="C346" s="584"/>
      <c r="D346" s="584"/>
      <c r="E346" s="585"/>
      <c r="F346" s="584"/>
      <c r="G346" s="586"/>
      <c r="H346" s="587"/>
    </row>
    <row r="347" s="44" customFormat="1" spans="1:8">
      <c r="A347" s="582"/>
      <c r="B347" s="583"/>
      <c r="C347" s="584"/>
      <c r="D347" s="584"/>
      <c r="E347" s="585"/>
      <c r="F347" s="584"/>
      <c r="G347" s="586"/>
      <c r="H347" s="587"/>
    </row>
    <row r="348" s="44" customFormat="1" spans="1:8">
      <c r="A348" s="582"/>
      <c r="B348" s="583"/>
      <c r="C348" s="584"/>
      <c r="D348" s="584"/>
      <c r="E348" s="585"/>
      <c r="F348" s="584"/>
      <c r="G348" s="586"/>
      <c r="H348" s="587"/>
    </row>
    <row r="349" s="44" customFormat="1" spans="1:8">
      <c r="A349" s="582"/>
      <c r="B349" s="583"/>
      <c r="C349" s="584"/>
      <c r="D349" s="584"/>
      <c r="E349" s="585"/>
      <c r="F349" s="584"/>
      <c r="G349" s="586"/>
      <c r="H349" s="587"/>
    </row>
    <row r="350" s="44" customFormat="1" spans="1:8">
      <c r="A350" s="582"/>
      <c r="B350" s="583"/>
      <c r="C350" s="584"/>
      <c r="D350" s="584"/>
      <c r="E350" s="585"/>
      <c r="F350" s="584"/>
      <c r="G350" s="586"/>
      <c r="H350" s="587"/>
    </row>
    <row r="351" s="44" customFormat="1" spans="1:8">
      <c r="A351" s="582"/>
      <c r="B351" s="583"/>
      <c r="C351" s="584"/>
      <c r="D351" s="584"/>
      <c r="E351" s="585"/>
      <c r="F351" s="584"/>
      <c r="G351" s="586"/>
      <c r="H351" s="587"/>
    </row>
    <row r="352" s="44" customFormat="1" spans="1:8">
      <c r="A352" s="582"/>
      <c r="B352" s="583"/>
      <c r="C352" s="584"/>
      <c r="D352" s="584"/>
      <c r="E352" s="585"/>
      <c r="F352" s="584"/>
      <c r="G352" s="586"/>
      <c r="H352" s="587"/>
    </row>
    <row r="353" s="44" customFormat="1" spans="1:8">
      <c r="A353" s="582"/>
      <c r="B353" s="583"/>
      <c r="C353" s="584"/>
      <c r="D353" s="584"/>
      <c r="E353" s="585"/>
      <c r="F353" s="584"/>
      <c r="G353" s="586"/>
      <c r="H353" s="587"/>
    </row>
    <row r="354" s="44" customFormat="1" spans="1:8">
      <c r="A354" s="582"/>
      <c r="B354" s="583"/>
      <c r="C354" s="584"/>
      <c r="D354" s="584"/>
      <c r="E354" s="585"/>
      <c r="F354" s="584"/>
      <c r="G354" s="586"/>
      <c r="H354" s="587"/>
    </row>
    <row r="355" s="44" customFormat="1" spans="1:8">
      <c r="A355" s="582"/>
      <c r="B355" s="583"/>
      <c r="C355" s="584"/>
      <c r="D355" s="584"/>
      <c r="E355" s="585"/>
      <c r="F355" s="584"/>
      <c r="G355" s="586"/>
      <c r="H355" s="587"/>
    </row>
    <row r="356" s="44" customFormat="1" spans="1:8">
      <c r="A356" s="582"/>
      <c r="B356" s="583"/>
      <c r="C356" s="584"/>
      <c r="D356" s="584"/>
      <c r="E356" s="585"/>
      <c r="F356" s="584"/>
      <c r="G356" s="586"/>
      <c r="H356" s="587"/>
    </row>
    <row r="357" s="44" customFormat="1" spans="1:8">
      <c r="A357" s="582"/>
      <c r="B357" s="583"/>
      <c r="C357" s="584"/>
      <c r="D357" s="584"/>
      <c r="E357" s="585"/>
      <c r="F357" s="584"/>
      <c r="G357" s="586"/>
      <c r="H357" s="587"/>
    </row>
    <row r="358" s="44" customFormat="1" spans="1:8">
      <c r="A358" s="582"/>
      <c r="B358" s="583"/>
      <c r="C358" s="584"/>
      <c r="D358" s="584"/>
      <c r="E358" s="585"/>
      <c r="F358" s="584"/>
      <c r="G358" s="586"/>
      <c r="H358" s="587"/>
    </row>
    <row r="359" s="44" customFormat="1" spans="1:8">
      <c r="A359" s="582"/>
      <c r="B359" s="583"/>
      <c r="C359" s="584"/>
      <c r="D359" s="584"/>
      <c r="E359" s="585"/>
      <c r="F359" s="584"/>
      <c r="G359" s="586"/>
      <c r="H359" s="587"/>
    </row>
    <row r="360" s="44" customFormat="1" spans="1:8">
      <c r="A360" s="582"/>
      <c r="B360" s="583"/>
      <c r="C360" s="584"/>
      <c r="D360" s="584"/>
      <c r="E360" s="585"/>
      <c r="F360" s="584"/>
      <c r="G360" s="586"/>
      <c r="H360" s="587"/>
    </row>
    <row r="361" s="44" customFormat="1" spans="1:8">
      <c r="A361" s="582"/>
      <c r="B361" s="583"/>
      <c r="C361" s="584"/>
      <c r="D361" s="584"/>
      <c r="E361" s="585"/>
      <c r="F361" s="584"/>
      <c r="G361" s="586"/>
      <c r="H361" s="587"/>
    </row>
    <row r="362" s="44" customFormat="1" spans="1:8">
      <c r="A362" s="582"/>
      <c r="B362" s="583"/>
      <c r="C362" s="584"/>
      <c r="D362" s="584"/>
      <c r="E362" s="585"/>
      <c r="F362" s="584"/>
      <c r="G362" s="586"/>
      <c r="H362" s="587"/>
    </row>
    <row r="363" s="44" customFormat="1" spans="1:8">
      <c r="A363" s="582"/>
      <c r="B363" s="583"/>
      <c r="C363" s="584"/>
      <c r="D363" s="584"/>
      <c r="E363" s="585"/>
      <c r="F363" s="584"/>
      <c r="G363" s="586"/>
      <c r="H363" s="587"/>
    </row>
    <row r="364" s="44" customFormat="1" spans="1:8">
      <c r="A364" s="582"/>
      <c r="B364" s="583"/>
      <c r="C364" s="584"/>
      <c r="D364" s="584"/>
      <c r="E364" s="585"/>
      <c r="F364" s="584"/>
      <c r="G364" s="586"/>
      <c r="H364" s="587"/>
    </row>
    <row r="365" s="44" customFormat="1" spans="1:8">
      <c r="A365" s="582"/>
      <c r="B365" s="583"/>
      <c r="C365" s="584"/>
      <c r="D365" s="584"/>
      <c r="E365" s="585"/>
      <c r="F365" s="584"/>
      <c r="G365" s="586"/>
      <c r="H365" s="587"/>
    </row>
    <row r="366" s="44" customFormat="1" spans="1:8">
      <c r="A366" s="582"/>
      <c r="B366" s="583"/>
      <c r="C366" s="584"/>
      <c r="D366" s="584"/>
      <c r="E366" s="585"/>
      <c r="F366" s="584"/>
      <c r="G366" s="586"/>
      <c r="H366" s="587"/>
    </row>
    <row r="367" s="44" customFormat="1" spans="1:8">
      <c r="A367" s="582"/>
      <c r="B367" s="583"/>
      <c r="C367" s="584"/>
      <c r="D367" s="584"/>
      <c r="E367" s="585"/>
      <c r="F367" s="584"/>
      <c r="G367" s="586"/>
      <c r="H367" s="587"/>
    </row>
    <row r="368" s="44" customFormat="1" spans="1:8">
      <c r="A368" s="582"/>
      <c r="B368" s="583"/>
      <c r="C368" s="584"/>
      <c r="D368" s="584"/>
      <c r="E368" s="585"/>
      <c r="F368" s="584"/>
      <c r="G368" s="586"/>
      <c r="H368" s="587"/>
    </row>
    <row r="369" s="44" customFormat="1" spans="1:8">
      <c r="A369" s="582"/>
      <c r="B369" s="583"/>
      <c r="C369" s="584"/>
      <c r="D369" s="584"/>
      <c r="E369" s="585"/>
      <c r="F369" s="584"/>
      <c r="G369" s="586"/>
      <c r="H369" s="587"/>
    </row>
    <row r="370" s="44" customFormat="1" spans="1:8">
      <c r="A370" s="582"/>
      <c r="B370" s="583"/>
      <c r="C370" s="584"/>
      <c r="D370" s="584"/>
      <c r="E370" s="585"/>
      <c r="F370" s="584"/>
      <c r="G370" s="586"/>
      <c r="H370" s="587"/>
    </row>
    <row r="371" s="44" customFormat="1" spans="1:8">
      <c r="A371" s="582"/>
      <c r="B371" s="583"/>
      <c r="C371" s="584"/>
      <c r="D371" s="584"/>
      <c r="E371" s="585"/>
      <c r="F371" s="584"/>
      <c r="G371" s="586"/>
      <c r="H371" s="587"/>
    </row>
    <row r="372" s="44" customFormat="1" spans="1:8">
      <c r="A372" s="582"/>
      <c r="B372" s="583"/>
      <c r="C372" s="584"/>
      <c r="D372" s="584"/>
      <c r="E372" s="585"/>
      <c r="F372" s="584"/>
      <c r="G372" s="586"/>
      <c r="H372" s="587"/>
    </row>
    <row r="373" s="44" customFormat="1" spans="1:8">
      <c r="A373" s="582"/>
      <c r="B373" s="583"/>
      <c r="C373" s="584"/>
      <c r="D373" s="584"/>
      <c r="E373" s="585"/>
      <c r="F373" s="584"/>
      <c r="G373" s="586"/>
      <c r="H373" s="587"/>
    </row>
    <row r="374" s="44" customFormat="1" spans="1:8">
      <c r="A374" s="582"/>
      <c r="B374" s="583"/>
      <c r="C374" s="584"/>
      <c r="D374" s="584"/>
      <c r="E374" s="585"/>
      <c r="F374" s="584"/>
      <c r="G374" s="586"/>
      <c r="H374" s="587"/>
    </row>
    <row r="375" s="44" customFormat="1" spans="1:8">
      <c r="A375" s="582"/>
      <c r="B375" s="583"/>
      <c r="C375" s="584"/>
      <c r="D375" s="584"/>
      <c r="E375" s="585"/>
      <c r="F375" s="584"/>
      <c r="G375" s="586"/>
      <c r="H375" s="587"/>
    </row>
    <row r="376" s="44" customFormat="1" spans="1:8">
      <c r="A376" s="582"/>
      <c r="B376" s="583"/>
      <c r="C376" s="584"/>
      <c r="D376" s="584"/>
      <c r="E376" s="585"/>
      <c r="F376" s="584"/>
      <c r="G376" s="586"/>
      <c r="H376" s="587"/>
    </row>
    <row r="377" s="44" customFormat="1" spans="1:8">
      <c r="A377" s="582"/>
      <c r="B377" s="583"/>
      <c r="C377" s="584"/>
      <c r="D377" s="584"/>
      <c r="E377" s="585"/>
      <c r="F377" s="584"/>
      <c r="G377" s="586"/>
      <c r="H377" s="587"/>
    </row>
    <row r="378" s="44" customFormat="1" spans="1:8">
      <c r="A378" s="582"/>
      <c r="B378" s="583"/>
      <c r="C378" s="584"/>
      <c r="D378" s="584"/>
      <c r="E378" s="585"/>
      <c r="F378" s="584"/>
      <c r="G378" s="586"/>
      <c r="H378" s="587"/>
    </row>
    <row r="379" s="44" customFormat="1" spans="1:8">
      <c r="A379" s="582"/>
      <c r="B379" s="583"/>
      <c r="C379" s="584"/>
      <c r="D379" s="584"/>
      <c r="E379" s="585"/>
      <c r="F379" s="584"/>
      <c r="G379" s="586"/>
      <c r="H379" s="587"/>
    </row>
    <row r="380" s="44" customFormat="1" spans="1:8">
      <c r="A380" s="582"/>
      <c r="B380" s="583"/>
      <c r="C380" s="584"/>
      <c r="D380" s="584"/>
      <c r="E380" s="585"/>
      <c r="F380" s="584"/>
      <c r="G380" s="586"/>
      <c r="H380" s="587"/>
    </row>
    <row r="381" s="44" customFormat="1" spans="1:8">
      <c r="A381" s="582"/>
      <c r="B381" s="583"/>
      <c r="C381" s="584"/>
      <c r="D381" s="584"/>
      <c r="E381" s="585"/>
      <c r="F381" s="584"/>
      <c r="G381" s="586"/>
      <c r="H381" s="587"/>
    </row>
    <row r="382" s="44" customFormat="1" spans="1:8">
      <c r="A382" s="582"/>
      <c r="B382" s="583"/>
      <c r="C382" s="584"/>
      <c r="D382" s="584"/>
      <c r="E382" s="585"/>
      <c r="F382" s="584"/>
      <c r="G382" s="586"/>
      <c r="H382" s="587"/>
    </row>
    <row r="383" s="44" customFormat="1" spans="1:8">
      <c r="A383" s="582"/>
      <c r="B383" s="583"/>
      <c r="C383" s="584"/>
      <c r="D383" s="584"/>
      <c r="E383" s="585"/>
      <c r="F383" s="584"/>
      <c r="G383" s="586"/>
      <c r="H383" s="587"/>
    </row>
    <row r="384" s="44" customFormat="1" spans="1:8">
      <c r="A384" s="582"/>
      <c r="B384" s="583"/>
      <c r="C384" s="584"/>
      <c r="D384" s="584"/>
      <c r="E384" s="585"/>
      <c r="F384" s="584"/>
      <c r="G384" s="586"/>
      <c r="H384" s="587"/>
    </row>
    <row r="385" s="44" customFormat="1" spans="1:8">
      <c r="A385" s="582"/>
      <c r="B385" s="583"/>
      <c r="C385" s="584"/>
      <c r="D385" s="584"/>
      <c r="E385" s="585"/>
      <c r="F385" s="584"/>
      <c r="G385" s="586"/>
      <c r="H385" s="587"/>
    </row>
    <row r="386" s="44" customFormat="1" spans="1:8">
      <c r="A386" s="582"/>
      <c r="B386" s="583"/>
      <c r="C386" s="584"/>
      <c r="D386" s="584"/>
      <c r="E386" s="585"/>
      <c r="F386" s="584"/>
      <c r="G386" s="586"/>
      <c r="H386" s="587"/>
    </row>
    <row r="387" s="44" customFormat="1" spans="1:8">
      <c r="A387" s="582"/>
      <c r="B387" s="583"/>
      <c r="C387" s="584"/>
      <c r="D387" s="584"/>
      <c r="E387" s="585"/>
      <c r="F387" s="584"/>
      <c r="G387" s="586"/>
      <c r="H387" s="587"/>
    </row>
    <row r="388" s="44" customFormat="1" spans="1:8">
      <c r="A388" s="582"/>
      <c r="B388" s="583"/>
      <c r="C388" s="584"/>
      <c r="D388" s="584"/>
      <c r="E388" s="585"/>
      <c r="F388" s="584"/>
      <c r="G388" s="586"/>
      <c r="H388" s="587"/>
    </row>
    <row r="389" s="44" customFormat="1" spans="1:8">
      <c r="A389" s="582"/>
      <c r="B389" s="583"/>
      <c r="C389" s="584"/>
      <c r="D389" s="584"/>
      <c r="E389" s="585"/>
      <c r="F389" s="584"/>
      <c r="G389" s="586"/>
      <c r="H389" s="587"/>
    </row>
    <row r="390" s="44" customFormat="1" spans="1:8">
      <c r="A390" s="582"/>
      <c r="B390" s="583"/>
      <c r="C390" s="584"/>
      <c r="D390" s="584"/>
      <c r="E390" s="585"/>
      <c r="F390" s="584"/>
      <c r="G390" s="586"/>
      <c r="H390" s="587"/>
    </row>
    <row r="391" s="44" customFormat="1" spans="1:8">
      <c r="A391" s="582"/>
      <c r="B391" s="583"/>
      <c r="C391" s="584"/>
      <c r="D391" s="584"/>
      <c r="E391" s="585"/>
      <c r="F391" s="584"/>
      <c r="G391" s="586"/>
      <c r="H391" s="587"/>
    </row>
    <row r="392" s="44" customFormat="1" spans="1:8">
      <c r="A392" s="582"/>
      <c r="B392" s="583"/>
      <c r="C392" s="584"/>
      <c r="D392" s="584"/>
      <c r="E392" s="585"/>
      <c r="F392" s="584"/>
      <c r="G392" s="586"/>
      <c r="H392" s="587"/>
    </row>
    <row r="393" s="44" customFormat="1" spans="1:8">
      <c r="A393" s="582"/>
      <c r="B393" s="583"/>
      <c r="C393" s="584"/>
      <c r="D393" s="584"/>
      <c r="E393" s="585"/>
      <c r="F393" s="584"/>
      <c r="G393" s="586"/>
      <c r="H393" s="587"/>
    </row>
    <row r="394" s="44" customFormat="1" spans="1:8">
      <c r="A394" s="582"/>
      <c r="B394" s="583"/>
      <c r="C394" s="584"/>
      <c r="D394" s="584"/>
      <c r="E394" s="585"/>
      <c r="F394" s="584"/>
      <c r="G394" s="586"/>
      <c r="H394" s="587"/>
    </row>
    <row r="395" s="44" customFormat="1" spans="1:8">
      <c r="A395" s="582"/>
      <c r="B395" s="583"/>
      <c r="C395" s="584"/>
      <c r="D395" s="584"/>
      <c r="E395" s="585"/>
      <c r="F395" s="584"/>
      <c r="G395" s="586"/>
      <c r="H395" s="587"/>
    </row>
    <row r="396" s="44" customFormat="1" spans="1:8">
      <c r="A396" s="582"/>
      <c r="B396" s="583"/>
      <c r="C396" s="584"/>
      <c r="D396" s="584"/>
      <c r="E396" s="585"/>
      <c r="F396" s="584"/>
      <c r="G396" s="586"/>
      <c r="H396" s="587"/>
    </row>
    <row r="397" s="44" customFormat="1" spans="1:8">
      <c r="A397" s="582"/>
      <c r="B397" s="583"/>
      <c r="C397" s="584"/>
      <c r="D397" s="584"/>
      <c r="E397" s="585"/>
      <c r="F397" s="584"/>
      <c r="G397" s="586"/>
      <c r="H397" s="587"/>
    </row>
    <row r="398" s="44" customFormat="1" spans="1:8">
      <c r="A398" s="582"/>
      <c r="B398" s="583"/>
      <c r="C398" s="584"/>
      <c r="D398" s="584"/>
      <c r="E398" s="585"/>
      <c r="F398" s="584"/>
      <c r="G398" s="586"/>
      <c r="H398" s="587"/>
    </row>
    <row r="399" s="44" customFormat="1" spans="1:8">
      <c r="A399" s="582"/>
      <c r="B399" s="583"/>
      <c r="C399" s="584"/>
      <c r="D399" s="584"/>
      <c r="E399" s="585"/>
      <c r="F399" s="584"/>
      <c r="G399" s="586"/>
      <c r="H399" s="587"/>
    </row>
    <row r="400" s="44" customFormat="1" spans="1:8">
      <c r="A400" s="582"/>
      <c r="B400" s="583"/>
      <c r="C400" s="584"/>
      <c r="D400" s="584"/>
      <c r="E400" s="585"/>
      <c r="F400" s="584"/>
      <c r="G400" s="586"/>
      <c r="H400" s="587"/>
    </row>
    <row r="401" s="44" customFormat="1" spans="1:8">
      <c r="A401" s="582"/>
      <c r="B401" s="583"/>
      <c r="C401" s="584"/>
      <c r="D401" s="584"/>
      <c r="E401" s="585"/>
      <c r="F401" s="584"/>
      <c r="G401" s="586"/>
      <c r="H401" s="587"/>
    </row>
    <row r="402" s="44" customFormat="1" spans="1:8">
      <c r="A402" s="582"/>
      <c r="B402" s="583"/>
      <c r="C402" s="584"/>
      <c r="D402" s="584"/>
      <c r="E402" s="585"/>
      <c r="F402" s="584"/>
      <c r="G402" s="586"/>
      <c r="H402" s="587"/>
    </row>
    <row r="403" s="44" customFormat="1" spans="1:8">
      <c r="A403" s="582"/>
      <c r="B403" s="583"/>
      <c r="C403" s="584"/>
      <c r="D403" s="584"/>
      <c r="E403" s="585"/>
      <c r="F403" s="584"/>
      <c r="G403" s="586"/>
      <c r="H403" s="587"/>
    </row>
    <row r="404" s="44" customFormat="1" spans="1:8">
      <c r="A404" s="582"/>
      <c r="B404" s="583"/>
      <c r="C404" s="584"/>
      <c r="D404" s="584"/>
      <c r="E404" s="585"/>
      <c r="F404" s="584"/>
      <c r="G404" s="586"/>
      <c r="H404" s="587"/>
    </row>
    <row r="405" s="44" customFormat="1" spans="1:8">
      <c r="A405" s="582"/>
      <c r="B405" s="583"/>
      <c r="C405" s="584"/>
      <c r="D405" s="584"/>
      <c r="E405" s="585"/>
      <c r="F405" s="584"/>
      <c r="G405" s="586"/>
      <c r="H405" s="587"/>
    </row>
    <row r="406" s="44" customFormat="1" spans="1:8">
      <c r="A406" s="582"/>
      <c r="B406" s="583"/>
      <c r="C406" s="584"/>
      <c r="D406" s="584"/>
      <c r="E406" s="585"/>
      <c r="F406" s="584"/>
      <c r="G406" s="586"/>
      <c r="H406" s="587"/>
    </row>
    <row r="407" s="44" customFormat="1" spans="1:8">
      <c r="A407" s="582"/>
      <c r="B407" s="583"/>
      <c r="C407" s="584"/>
      <c r="D407" s="584"/>
      <c r="E407" s="585"/>
      <c r="F407" s="584"/>
      <c r="G407" s="586"/>
      <c r="H407" s="587"/>
    </row>
    <row r="408" s="44" customFormat="1" spans="1:8">
      <c r="A408" s="582"/>
      <c r="B408" s="583"/>
      <c r="C408" s="584"/>
      <c r="D408" s="584"/>
      <c r="E408" s="585"/>
      <c r="F408" s="584"/>
      <c r="G408" s="586"/>
      <c r="H408" s="587"/>
    </row>
    <row r="409" s="44" customFormat="1" spans="1:8">
      <c r="A409" s="582"/>
      <c r="B409" s="583"/>
      <c r="C409" s="584"/>
      <c r="D409" s="584"/>
      <c r="E409" s="585"/>
      <c r="F409" s="584"/>
      <c r="G409" s="586"/>
      <c r="H409" s="587"/>
    </row>
    <row r="410" s="44" customFormat="1" spans="1:8">
      <c r="A410" s="582"/>
      <c r="B410" s="583"/>
      <c r="C410" s="584"/>
      <c r="D410" s="584"/>
      <c r="E410" s="585"/>
      <c r="F410" s="584"/>
      <c r="G410" s="586"/>
      <c r="H410" s="587"/>
    </row>
    <row r="411" s="44" customFormat="1" spans="1:8">
      <c r="A411" s="582"/>
      <c r="B411" s="583"/>
      <c r="C411" s="584"/>
      <c r="D411" s="584"/>
      <c r="E411" s="585"/>
      <c r="F411" s="584"/>
      <c r="G411" s="586"/>
      <c r="H411" s="587"/>
    </row>
    <row r="412" s="44" customFormat="1" spans="1:8">
      <c r="A412" s="582"/>
      <c r="B412" s="583"/>
      <c r="C412" s="584"/>
      <c r="D412" s="584"/>
      <c r="E412" s="585"/>
      <c r="F412" s="584"/>
      <c r="G412" s="586"/>
      <c r="H412" s="587"/>
    </row>
    <row r="413" s="44" customFormat="1" spans="1:8">
      <c r="A413" s="582"/>
      <c r="B413" s="583"/>
      <c r="C413" s="584"/>
      <c r="D413" s="584"/>
      <c r="E413" s="585"/>
      <c r="F413" s="584"/>
      <c r="G413" s="586"/>
      <c r="H413" s="587"/>
    </row>
    <row r="414" s="44" customFormat="1" spans="1:8">
      <c r="A414" s="582"/>
      <c r="B414" s="583"/>
      <c r="C414" s="584"/>
      <c r="D414" s="584"/>
      <c r="E414" s="585"/>
      <c r="F414" s="584"/>
      <c r="G414" s="586"/>
      <c r="H414" s="587"/>
    </row>
    <row r="415" s="44" customFormat="1" spans="1:8">
      <c r="A415" s="582"/>
      <c r="B415" s="583"/>
      <c r="C415" s="584"/>
      <c r="D415" s="584"/>
      <c r="E415" s="585"/>
      <c r="F415" s="584"/>
      <c r="G415" s="586"/>
      <c r="H415" s="587"/>
    </row>
    <row r="416" s="44" customFormat="1" spans="1:8">
      <c r="A416" s="582"/>
      <c r="B416" s="583"/>
      <c r="C416" s="584"/>
      <c r="D416" s="584"/>
      <c r="E416" s="585"/>
      <c r="F416" s="584"/>
      <c r="G416" s="586"/>
      <c r="H416" s="587"/>
    </row>
    <row r="417" s="44" customFormat="1" spans="1:8">
      <c r="A417" s="582"/>
      <c r="B417" s="583"/>
      <c r="C417" s="584"/>
      <c r="D417" s="584"/>
      <c r="E417" s="585"/>
      <c r="F417" s="584"/>
      <c r="G417" s="586"/>
      <c r="H417" s="587"/>
    </row>
    <row r="418" s="44" customFormat="1" spans="1:8">
      <c r="A418" s="582"/>
      <c r="B418" s="583"/>
      <c r="C418" s="584"/>
      <c r="D418" s="584"/>
      <c r="E418" s="585"/>
      <c r="F418" s="584"/>
      <c r="G418" s="586"/>
      <c r="H418" s="587"/>
    </row>
    <row r="419" s="44" customFormat="1" spans="1:8">
      <c r="A419" s="582"/>
      <c r="B419" s="583"/>
      <c r="C419" s="584"/>
      <c r="D419" s="584"/>
      <c r="E419" s="585"/>
      <c r="F419" s="584"/>
      <c r="G419" s="586"/>
      <c r="H419" s="587"/>
    </row>
    <row r="420" s="44" customFormat="1" spans="1:8">
      <c r="A420" s="582"/>
      <c r="B420" s="583"/>
      <c r="C420" s="584"/>
      <c r="D420" s="584"/>
      <c r="E420" s="585"/>
      <c r="F420" s="584"/>
      <c r="G420" s="586"/>
      <c r="H420" s="587"/>
    </row>
    <row r="421" s="44" customFormat="1" spans="1:8">
      <c r="A421" s="582"/>
      <c r="B421" s="583"/>
      <c r="C421" s="584"/>
      <c r="D421" s="584"/>
      <c r="E421" s="585"/>
      <c r="F421" s="584"/>
      <c r="G421" s="586"/>
      <c r="H421" s="587"/>
    </row>
  </sheetData>
  <mergeCells count="12">
    <mergeCell ref="C26:D26"/>
    <mergeCell ref="A7:A10"/>
    <mergeCell ref="A12:A25"/>
    <mergeCell ref="A26:A29"/>
    <mergeCell ref="A30:A34"/>
    <mergeCell ref="A36:A43"/>
    <mergeCell ref="H6:H10"/>
    <mergeCell ref="H12:H25"/>
    <mergeCell ref="H27:H29"/>
    <mergeCell ref="H31:H34"/>
    <mergeCell ref="H36:H43"/>
    <mergeCell ref="A1:H2"/>
  </mergeCells>
  <pageMargins left="0.275" right="0.0784722222222222" top="1" bottom="1" header="0.5" footer="0.5"/>
  <pageSetup paperSize="9" scale="68"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3"/>
  <sheetViews>
    <sheetView workbookViewId="0">
      <selection activeCell="J1" sqref="J$1:M$1048576"/>
    </sheetView>
  </sheetViews>
  <sheetFormatPr defaultColWidth="10.625" defaultRowHeight="13.5"/>
  <cols>
    <col min="1" max="1" width="11.625" style="524" customWidth="1"/>
    <col min="2" max="2" width="22.25" style="556" customWidth="1"/>
    <col min="3" max="3" width="39.9083333333333" style="557" customWidth="1"/>
    <col min="4" max="4" width="14.75" style="558" customWidth="1"/>
    <col min="5" max="5" width="7.875" style="558" customWidth="1"/>
    <col min="6" max="6" width="16.5" style="556" customWidth="1"/>
    <col min="7" max="8" width="10.625" style="524" customWidth="1"/>
    <col min="9" max="9" width="8" style="524" customWidth="1"/>
    <col min="10" max="16384" width="10.625" style="524"/>
  </cols>
  <sheetData>
    <row r="1" s="524" customFormat="1" ht="31.5" customHeight="1" spans="1:6">
      <c r="A1" s="559" t="s">
        <v>342</v>
      </c>
      <c r="B1" s="559"/>
      <c r="C1" s="560"/>
      <c r="D1" s="561"/>
      <c r="E1" s="561"/>
      <c r="F1" s="559"/>
    </row>
    <row r="2" s="524" customFormat="1" ht="25" customHeight="1" spans="1:6">
      <c r="A2" s="394"/>
      <c r="B2" s="397"/>
      <c r="C2" s="562"/>
      <c r="D2" s="396"/>
      <c r="E2" s="396"/>
      <c r="F2" s="397" t="s">
        <v>343</v>
      </c>
    </row>
    <row r="3" s="555" customFormat="1" ht="34" customHeight="1" spans="1:9">
      <c r="A3" s="563" t="s">
        <v>344</v>
      </c>
      <c r="B3" s="563" t="s">
        <v>345</v>
      </c>
      <c r="C3" s="563" t="s">
        <v>346</v>
      </c>
      <c r="D3" s="564" t="s">
        <v>347</v>
      </c>
      <c r="E3" s="564" t="s">
        <v>279</v>
      </c>
      <c r="F3" s="564" t="s">
        <v>57</v>
      </c>
      <c r="G3" s="565"/>
      <c r="H3" s="565"/>
      <c r="I3" s="565"/>
    </row>
    <row r="4" s="524" customFormat="1" ht="20" hidden="1" customHeight="1" spans="1:9">
      <c r="A4" s="566" t="s">
        <v>145</v>
      </c>
      <c r="B4" s="567" t="s">
        <v>145</v>
      </c>
      <c r="C4" s="83" t="s">
        <v>348</v>
      </c>
      <c r="D4" s="568">
        <v>0</v>
      </c>
      <c r="E4" s="484">
        <v>1</v>
      </c>
      <c r="F4" s="568">
        <v>0</v>
      </c>
      <c r="G4" s="569"/>
      <c r="H4" s="569"/>
      <c r="I4" s="569"/>
    </row>
    <row r="5" s="524" customFormat="1" ht="20" customHeight="1" spans="1:9">
      <c r="A5" s="566"/>
      <c r="B5" s="567" t="s">
        <v>145</v>
      </c>
      <c r="C5" s="83" t="s">
        <v>349</v>
      </c>
      <c r="D5" s="568">
        <v>0.3</v>
      </c>
      <c r="E5" s="484">
        <v>1</v>
      </c>
      <c r="F5" s="568">
        <f t="shared" ref="F4:F38" si="0">D5*E5</f>
        <v>0.3</v>
      </c>
      <c r="G5" s="569"/>
      <c r="H5" s="569"/>
      <c r="I5" s="569"/>
    </row>
    <row r="6" s="524" customFormat="1" ht="20" customHeight="1" spans="1:9">
      <c r="A6" s="566"/>
      <c r="B6" s="567" t="s">
        <v>145</v>
      </c>
      <c r="C6" s="83" t="s">
        <v>350</v>
      </c>
      <c r="D6" s="568">
        <v>0.4</v>
      </c>
      <c r="E6" s="484">
        <v>1</v>
      </c>
      <c r="F6" s="568">
        <f t="shared" si="0"/>
        <v>0.4</v>
      </c>
      <c r="G6" s="569"/>
      <c r="H6" s="569"/>
      <c r="I6" s="569"/>
    </row>
    <row r="7" s="524" customFormat="1" ht="20" customHeight="1" spans="1:9">
      <c r="A7" s="566"/>
      <c r="B7" s="567" t="s">
        <v>145</v>
      </c>
      <c r="C7" s="484" t="s">
        <v>351</v>
      </c>
      <c r="D7" s="568">
        <v>0.05</v>
      </c>
      <c r="E7" s="484">
        <v>1</v>
      </c>
      <c r="F7" s="568">
        <f t="shared" si="0"/>
        <v>0.05</v>
      </c>
      <c r="G7" s="569"/>
      <c r="H7" s="569"/>
      <c r="I7" s="569"/>
    </row>
    <row r="8" s="524" customFormat="1" ht="20" customHeight="1" spans="1:9">
      <c r="A8" s="566"/>
      <c r="B8" s="567" t="s">
        <v>352</v>
      </c>
      <c r="C8" s="83" t="s">
        <v>353</v>
      </c>
      <c r="D8" s="568">
        <f>20*0.5</f>
        <v>10</v>
      </c>
      <c r="E8" s="484">
        <v>1</v>
      </c>
      <c r="F8" s="568">
        <f t="shared" si="0"/>
        <v>10</v>
      </c>
      <c r="G8" s="569"/>
      <c r="H8" s="569"/>
      <c r="I8" s="569"/>
    </row>
    <row r="9" s="524" customFormat="1" ht="20" customHeight="1" spans="1:9">
      <c r="A9" s="566"/>
      <c r="B9" s="570" t="s">
        <v>354</v>
      </c>
      <c r="C9" s="571" t="s">
        <v>355</v>
      </c>
      <c r="D9" s="568">
        <v>1.2</v>
      </c>
      <c r="E9" s="484">
        <v>1</v>
      </c>
      <c r="F9" s="568">
        <f t="shared" si="0"/>
        <v>1.2</v>
      </c>
      <c r="G9" s="569"/>
      <c r="H9" s="569"/>
      <c r="I9" s="569"/>
    </row>
    <row r="10" s="524" customFormat="1" ht="20" customHeight="1" spans="1:9">
      <c r="A10" s="566"/>
      <c r="B10" s="570" t="s">
        <v>354</v>
      </c>
      <c r="C10" s="572" t="s">
        <v>356</v>
      </c>
      <c r="D10" s="568">
        <f>10*0.5</f>
        <v>5</v>
      </c>
      <c r="E10" s="484">
        <v>1</v>
      </c>
      <c r="F10" s="568">
        <f t="shared" si="0"/>
        <v>5</v>
      </c>
      <c r="G10" s="569"/>
      <c r="H10" s="569"/>
      <c r="I10" s="569"/>
    </row>
    <row r="11" s="524" customFormat="1" ht="20" customHeight="1" spans="1:9">
      <c r="A11" s="566"/>
      <c r="B11" s="484" t="s">
        <v>159</v>
      </c>
      <c r="C11" s="83" t="s">
        <v>353</v>
      </c>
      <c r="D11" s="568">
        <v>1</v>
      </c>
      <c r="E11" s="484">
        <v>1</v>
      </c>
      <c r="F11" s="568">
        <f t="shared" si="0"/>
        <v>1</v>
      </c>
      <c r="G11" s="569"/>
      <c r="H11" s="569"/>
      <c r="I11" s="569"/>
    </row>
    <row r="12" s="524" customFormat="1" ht="20" customHeight="1" spans="1:9">
      <c r="A12" s="566"/>
      <c r="B12" s="484" t="s">
        <v>159</v>
      </c>
      <c r="C12" s="83" t="s">
        <v>357</v>
      </c>
      <c r="D12" s="568">
        <v>0.6</v>
      </c>
      <c r="E12" s="484">
        <v>2</v>
      </c>
      <c r="F12" s="568">
        <f t="shared" si="0"/>
        <v>1.2</v>
      </c>
      <c r="G12" s="569"/>
      <c r="H12" s="569"/>
      <c r="I12" s="569"/>
    </row>
    <row r="13" s="524" customFormat="1" ht="20" customHeight="1" spans="1:9">
      <c r="A13" s="566"/>
      <c r="B13" s="484" t="s">
        <v>159</v>
      </c>
      <c r="C13" s="573" t="s">
        <v>358</v>
      </c>
      <c r="D13" s="568">
        <v>1.5</v>
      </c>
      <c r="E13" s="484">
        <v>1</v>
      </c>
      <c r="F13" s="568">
        <f t="shared" si="0"/>
        <v>1.5</v>
      </c>
      <c r="G13" s="569"/>
      <c r="H13" s="569"/>
      <c r="I13" s="569"/>
    </row>
    <row r="14" s="524" customFormat="1" ht="20" customHeight="1" spans="1:9">
      <c r="A14" s="566"/>
      <c r="B14" s="567" t="s">
        <v>359</v>
      </c>
      <c r="C14" s="83" t="s">
        <v>360</v>
      </c>
      <c r="D14" s="568">
        <v>2</v>
      </c>
      <c r="E14" s="484">
        <v>1</v>
      </c>
      <c r="F14" s="568">
        <f t="shared" si="0"/>
        <v>2</v>
      </c>
      <c r="G14" s="569"/>
      <c r="H14" s="569"/>
      <c r="I14" s="569"/>
    </row>
    <row r="15" s="524" customFormat="1" ht="20" customHeight="1" spans="1:9">
      <c r="A15" s="566"/>
      <c r="B15" s="567" t="s">
        <v>361</v>
      </c>
      <c r="C15" s="83" t="s">
        <v>362</v>
      </c>
      <c r="D15" s="568">
        <f>10*0.5</f>
        <v>5</v>
      </c>
      <c r="E15" s="484">
        <v>1</v>
      </c>
      <c r="F15" s="568">
        <f t="shared" si="0"/>
        <v>5</v>
      </c>
      <c r="G15" s="569"/>
      <c r="H15" s="569"/>
      <c r="I15" s="569"/>
    </row>
    <row r="16" s="524" customFormat="1" ht="20" customHeight="1" spans="1:9">
      <c r="A16" s="566"/>
      <c r="B16" s="567" t="s">
        <v>363</v>
      </c>
      <c r="C16" s="83" t="s">
        <v>353</v>
      </c>
      <c r="D16" s="568">
        <v>0.9</v>
      </c>
      <c r="E16" s="484">
        <v>1</v>
      </c>
      <c r="F16" s="568">
        <f t="shared" si="0"/>
        <v>0.9</v>
      </c>
      <c r="G16" s="569"/>
      <c r="H16" s="569"/>
      <c r="I16" s="569"/>
    </row>
    <row r="17" s="524" customFormat="1" ht="20" customHeight="1" spans="1:9">
      <c r="A17" s="566"/>
      <c r="B17" s="567" t="s">
        <v>213</v>
      </c>
      <c r="C17" s="83" t="s">
        <v>353</v>
      </c>
      <c r="D17" s="568">
        <v>1</v>
      </c>
      <c r="E17" s="484">
        <v>1</v>
      </c>
      <c r="F17" s="568">
        <f t="shared" si="0"/>
        <v>1</v>
      </c>
      <c r="G17" s="569"/>
      <c r="H17" s="569"/>
      <c r="I17" s="569"/>
    </row>
    <row r="18" s="524" customFormat="1" ht="20" customHeight="1" spans="1:9">
      <c r="A18" s="566"/>
      <c r="B18" s="567" t="s">
        <v>216</v>
      </c>
      <c r="C18" s="83" t="s">
        <v>353</v>
      </c>
      <c r="D18" s="568">
        <v>2.9</v>
      </c>
      <c r="E18" s="484">
        <v>1</v>
      </c>
      <c r="F18" s="568">
        <f t="shared" si="0"/>
        <v>2.9</v>
      </c>
      <c r="G18" s="569"/>
      <c r="H18" s="569"/>
      <c r="I18" s="569"/>
    </row>
    <row r="19" s="524" customFormat="1" ht="20" customHeight="1" spans="1:9">
      <c r="A19" s="566"/>
      <c r="B19" s="567" t="s">
        <v>225</v>
      </c>
      <c r="C19" s="83" t="s">
        <v>353</v>
      </c>
      <c r="D19" s="568">
        <v>0.56</v>
      </c>
      <c r="E19" s="484">
        <v>1</v>
      </c>
      <c r="F19" s="568">
        <f t="shared" si="0"/>
        <v>0.56</v>
      </c>
      <c r="G19" s="569"/>
      <c r="H19" s="569"/>
      <c r="I19" s="569"/>
    </row>
    <row r="20" s="524" customFormat="1" ht="20" customHeight="1" spans="1:9">
      <c r="A20" s="566"/>
      <c r="B20" s="484" t="s">
        <v>172</v>
      </c>
      <c r="C20" s="83" t="s">
        <v>353</v>
      </c>
      <c r="D20" s="568">
        <v>0.65</v>
      </c>
      <c r="E20" s="484">
        <v>1</v>
      </c>
      <c r="F20" s="568">
        <f t="shared" si="0"/>
        <v>0.65</v>
      </c>
      <c r="G20" s="569"/>
      <c r="H20" s="569"/>
      <c r="I20" s="569"/>
    </row>
    <row r="21" s="524" customFormat="1" ht="20" customHeight="1" spans="1:9">
      <c r="A21" s="566"/>
      <c r="B21" s="567" t="s">
        <v>364</v>
      </c>
      <c r="C21" s="503" t="s">
        <v>365</v>
      </c>
      <c r="D21" s="568">
        <v>2</v>
      </c>
      <c r="E21" s="484">
        <v>1</v>
      </c>
      <c r="F21" s="568">
        <f t="shared" si="0"/>
        <v>2</v>
      </c>
      <c r="G21" s="569"/>
      <c r="H21" s="569"/>
      <c r="I21" s="569"/>
    </row>
    <row r="22" s="524" customFormat="1" ht="20" customHeight="1" spans="1:9">
      <c r="A22" s="566"/>
      <c r="B22" s="567" t="s">
        <v>232</v>
      </c>
      <c r="C22" s="83" t="s">
        <v>353</v>
      </c>
      <c r="D22" s="568">
        <v>1.5</v>
      </c>
      <c r="E22" s="484">
        <v>1</v>
      </c>
      <c r="F22" s="568">
        <f t="shared" si="0"/>
        <v>1.5</v>
      </c>
      <c r="G22" s="569"/>
      <c r="H22" s="569"/>
      <c r="I22" s="569"/>
    </row>
    <row r="23" s="524" customFormat="1" ht="20" customHeight="1" spans="1:9">
      <c r="A23" s="566"/>
      <c r="B23" s="567" t="s">
        <v>220</v>
      </c>
      <c r="C23" s="83" t="s">
        <v>353</v>
      </c>
      <c r="D23" s="568">
        <v>1.56</v>
      </c>
      <c r="E23" s="484">
        <v>1</v>
      </c>
      <c r="F23" s="568">
        <f t="shared" si="0"/>
        <v>1.56</v>
      </c>
      <c r="G23" s="569"/>
      <c r="H23" s="569"/>
      <c r="I23" s="569"/>
    </row>
    <row r="24" s="524" customFormat="1" ht="20" customHeight="1" spans="1:9">
      <c r="A24" s="566"/>
      <c r="B24" s="567" t="s">
        <v>211</v>
      </c>
      <c r="C24" s="83" t="s">
        <v>353</v>
      </c>
      <c r="D24" s="568">
        <v>5.5</v>
      </c>
      <c r="E24" s="484">
        <v>1</v>
      </c>
      <c r="F24" s="568">
        <f t="shared" si="0"/>
        <v>5.5</v>
      </c>
      <c r="G24" s="569"/>
      <c r="H24" s="569"/>
      <c r="I24" s="569"/>
    </row>
    <row r="25" s="524" customFormat="1" ht="20" customHeight="1" spans="1:9">
      <c r="A25" s="566"/>
      <c r="B25" s="567" t="s">
        <v>165</v>
      </c>
      <c r="C25" s="83" t="s">
        <v>353</v>
      </c>
      <c r="D25" s="568">
        <v>0.7</v>
      </c>
      <c r="E25" s="484">
        <v>1</v>
      </c>
      <c r="F25" s="568">
        <f t="shared" si="0"/>
        <v>0.7</v>
      </c>
      <c r="G25" s="569"/>
      <c r="H25" s="569"/>
      <c r="I25" s="569"/>
    </row>
    <row r="26" s="524" customFormat="1" ht="20" customHeight="1" spans="1:9">
      <c r="A26" s="566"/>
      <c r="B26" s="567" t="s">
        <v>366</v>
      </c>
      <c r="C26" s="83" t="s">
        <v>353</v>
      </c>
      <c r="D26" s="568">
        <v>0.24</v>
      </c>
      <c r="E26" s="484">
        <v>1</v>
      </c>
      <c r="F26" s="568">
        <f t="shared" si="0"/>
        <v>0.24</v>
      </c>
      <c r="G26" s="569"/>
      <c r="H26" s="569"/>
      <c r="I26" s="569"/>
    </row>
    <row r="27" s="524" customFormat="1" ht="20" customHeight="1" spans="1:9">
      <c r="A27" s="566"/>
      <c r="B27" s="484" t="s">
        <v>218</v>
      </c>
      <c r="C27" s="83" t="s">
        <v>353</v>
      </c>
      <c r="D27" s="568">
        <v>3</v>
      </c>
      <c r="E27" s="484">
        <v>1</v>
      </c>
      <c r="F27" s="568">
        <f t="shared" si="0"/>
        <v>3</v>
      </c>
      <c r="G27" s="569"/>
      <c r="H27" s="569"/>
      <c r="I27" s="569"/>
    </row>
    <row r="28" s="524" customFormat="1" ht="20" customHeight="1" spans="1:9">
      <c r="A28" s="566"/>
      <c r="B28" s="484" t="s">
        <v>367</v>
      </c>
      <c r="C28" s="83" t="s">
        <v>353</v>
      </c>
      <c r="D28" s="568">
        <f>10.3*0.5</f>
        <v>5.15</v>
      </c>
      <c r="E28" s="484">
        <v>1</v>
      </c>
      <c r="F28" s="568">
        <f t="shared" si="0"/>
        <v>5.15</v>
      </c>
      <c r="G28" s="569"/>
      <c r="H28" s="569"/>
      <c r="I28" s="569"/>
    </row>
    <row r="29" s="524" customFormat="1" ht="20" customHeight="1" spans="1:9">
      <c r="A29" s="566"/>
      <c r="B29" s="484" t="s">
        <v>368</v>
      </c>
      <c r="C29" s="83" t="s">
        <v>353</v>
      </c>
      <c r="D29" s="568">
        <v>0.57</v>
      </c>
      <c r="E29" s="484">
        <v>1</v>
      </c>
      <c r="F29" s="568">
        <f t="shared" si="0"/>
        <v>0.57</v>
      </c>
      <c r="G29" s="569"/>
      <c r="H29" s="569"/>
      <c r="I29" s="569"/>
    </row>
    <row r="30" s="524" customFormat="1" ht="20" customHeight="1" spans="1:9">
      <c r="A30" s="566"/>
      <c r="B30" s="567" t="s">
        <v>163</v>
      </c>
      <c r="C30" s="574" t="s">
        <v>369</v>
      </c>
      <c r="D30" s="568">
        <v>0.1</v>
      </c>
      <c r="E30" s="484">
        <v>1</v>
      </c>
      <c r="F30" s="568">
        <f t="shared" si="0"/>
        <v>0.1</v>
      </c>
      <c r="G30" s="569"/>
      <c r="H30" s="569"/>
      <c r="I30" s="569"/>
    </row>
    <row r="31" s="524" customFormat="1" ht="20" customHeight="1" spans="1:9">
      <c r="A31" s="566"/>
      <c r="B31" s="567" t="s">
        <v>163</v>
      </c>
      <c r="C31" s="503" t="s">
        <v>370</v>
      </c>
      <c r="D31" s="568">
        <v>0.01</v>
      </c>
      <c r="E31" s="484">
        <v>10</v>
      </c>
      <c r="F31" s="568">
        <f t="shared" si="0"/>
        <v>0.1</v>
      </c>
      <c r="G31" s="569"/>
      <c r="H31" s="569"/>
      <c r="I31" s="569"/>
    </row>
    <row r="32" s="524" customFormat="1" ht="20" customHeight="1" spans="1:9">
      <c r="A32" s="566"/>
      <c r="B32" s="567" t="s">
        <v>252</v>
      </c>
      <c r="C32" s="503" t="s">
        <v>371</v>
      </c>
      <c r="D32" s="568">
        <v>1</v>
      </c>
      <c r="E32" s="484">
        <v>1</v>
      </c>
      <c r="F32" s="568">
        <f t="shared" si="0"/>
        <v>1</v>
      </c>
      <c r="G32" s="569"/>
      <c r="H32" s="569"/>
      <c r="I32" s="569"/>
    </row>
    <row r="33" s="524" customFormat="1" ht="20" customHeight="1" spans="1:9">
      <c r="A33" s="566"/>
      <c r="B33" s="567" t="s">
        <v>252</v>
      </c>
      <c r="C33" s="503" t="s">
        <v>372</v>
      </c>
      <c r="D33" s="568">
        <v>0.3</v>
      </c>
      <c r="E33" s="484">
        <v>1</v>
      </c>
      <c r="F33" s="568">
        <f t="shared" si="0"/>
        <v>0.3</v>
      </c>
      <c r="G33" s="569"/>
      <c r="H33" s="569"/>
      <c r="I33" s="569"/>
    </row>
    <row r="34" s="524" customFormat="1" ht="20" customHeight="1" spans="1:9">
      <c r="A34" s="566"/>
      <c r="B34" s="567" t="s">
        <v>252</v>
      </c>
      <c r="C34" s="503" t="s">
        <v>373</v>
      </c>
      <c r="D34" s="568">
        <v>2</v>
      </c>
      <c r="E34" s="484">
        <v>1</v>
      </c>
      <c r="F34" s="568">
        <f t="shared" si="0"/>
        <v>2</v>
      </c>
      <c r="G34" s="569"/>
      <c r="H34" s="569"/>
      <c r="I34" s="569"/>
    </row>
    <row r="35" s="524" customFormat="1" ht="20" customHeight="1" spans="1:9">
      <c r="A35" s="566"/>
      <c r="B35" s="567" t="s">
        <v>252</v>
      </c>
      <c r="C35" s="503" t="s">
        <v>374</v>
      </c>
      <c r="D35" s="568">
        <v>1</v>
      </c>
      <c r="E35" s="484">
        <v>1</v>
      </c>
      <c r="F35" s="568">
        <f t="shared" si="0"/>
        <v>1</v>
      </c>
      <c r="G35" s="569">
        <v>0.2</v>
      </c>
      <c r="H35" s="569"/>
      <c r="I35" s="569"/>
    </row>
    <row r="36" s="524" customFormat="1" ht="20" customHeight="1" spans="1:9">
      <c r="A36" s="566"/>
      <c r="B36" s="567" t="s">
        <v>234</v>
      </c>
      <c r="C36" s="83" t="s">
        <v>353</v>
      </c>
      <c r="D36" s="568">
        <v>5</v>
      </c>
      <c r="E36" s="484">
        <v>1</v>
      </c>
      <c r="F36" s="568">
        <f t="shared" si="0"/>
        <v>5</v>
      </c>
      <c r="G36" s="569"/>
      <c r="H36" s="569"/>
      <c r="I36" s="569"/>
    </row>
    <row r="37" s="524" customFormat="1" ht="20" customHeight="1" spans="1:9">
      <c r="A37" s="566"/>
      <c r="B37" s="567" t="s">
        <v>195</v>
      </c>
      <c r="C37" s="503" t="s">
        <v>375</v>
      </c>
      <c r="D37" s="568">
        <f>6*0.5</f>
        <v>3</v>
      </c>
      <c r="E37" s="484">
        <v>1</v>
      </c>
      <c r="F37" s="568">
        <f t="shared" si="0"/>
        <v>3</v>
      </c>
      <c r="G37" s="569"/>
      <c r="H37" s="569"/>
      <c r="I37" s="569"/>
    </row>
    <row r="38" s="524" customFormat="1" ht="20" customHeight="1" spans="1:9">
      <c r="A38" s="566"/>
      <c r="B38" s="567" t="s">
        <v>195</v>
      </c>
      <c r="C38" s="503" t="s">
        <v>376</v>
      </c>
      <c r="D38" s="568">
        <v>2</v>
      </c>
      <c r="E38" s="484">
        <v>1</v>
      </c>
      <c r="F38" s="568">
        <f t="shared" si="0"/>
        <v>2</v>
      </c>
      <c r="G38" s="569"/>
      <c r="H38" s="569"/>
      <c r="I38" s="569"/>
    </row>
    <row r="39" s="524" customFormat="1" ht="20" customHeight="1" spans="1:9">
      <c r="A39" s="566"/>
      <c r="B39" s="575" t="s">
        <v>377</v>
      </c>
      <c r="C39" s="502" t="s">
        <v>353</v>
      </c>
      <c r="D39" s="568">
        <v>0.8</v>
      </c>
      <c r="E39" s="484">
        <v>1</v>
      </c>
      <c r="F39" s="568">
        <v>0.8</v>
      </c>
      <c r="G39" s="569"/>
      <c r="H39" s="569"/>
      <c r="I39" s="569"/>
    </row>
    <row r="40" s="524" customFormat="1" ht="29" customHeight="1" spans="1:9">
      <c r="A40" s="576"/>
      <c r="B40" s="577" t="s">
        <v>378</v>
      </c>
      <c r="C40" s="578"/>
      <c r="D40" s="398"/>
      <c r="E40" s="398"/>
      <c r="F40" s="398">
        <f>SUM(F4:F39)</f>
        <v>69.18</v>
      </c>
      <c r="G40" s="569"/>
      <c r="H40" s="569"/>
      <c r="I40" s="569"/>
    </row>
    <row r="41" s="524" customFormat="1" spans="1:9">
      <c r="A41" s="579"/>
      <c r="B41" s="556"/>
      <c r="C41" s="557"/>
      <c r="D41" s="558"/>
      <c r="E41" s="558"/>
      <c r="F41" s="556"/>
      <c r="G41" s="569"/>
      <c r="H41" s="569"/>
      <c r="I41" s="569"/>
    </row>
    <row r="42" s="524" customFormat="1" spans="1:9">
      <c r="A42" s="579"/>
      <c r="B42" s="556"/>
      <c r="C42" s="557"/>
      <c r="D42" s="558"/>
      <c r="E42" s="558"/>
      <c r="F42" s="556"/>
      <c r="G42" s="569"/>
      <c r="H42" s="569"/>
      <c r="I42" s="569"/>
    </row>
    <row r="43" s="524" customFormat="1" ht="27" spans="1:9">
      <c r="A43" s="579"/>
      <c r="B43" s="556" t="s">
        <v>76</v>
      </c>
      <c r="C43" s="557" t="s">
        <v>77</v>
      </c>
      <c r="D43" s="558"/>
      <c r="E43" s="558" t="s">
        <v>140</v>
      </c>
      <c r="F43" s="556"/>
      <c r="G43" s="569"/>
      <c r="H43" s="569"/>
      <c r="I43" s="569"/>
    </row>
    <row r="44" s="524" customFormat="1" spans="1:9">
      <c r="A44" s="579"/>
      <c r="B44" s="556"/>
      <c r="C44" s="557"/>
      <c r="D44" s="558"/>
      <c r="E44" s="558"/>
      <c r="F44" s="556"/>
      <c r="G44" s="569"/>
      <c r="H44" s="569"/>
      <c r="I44" s="569"/>
    </row>
    <row r="45" s="524" customFormat="1" spans="1:9">
      <c r="A45" s="579"/>
      <c r="B45" s="556"/>
      <c r="C45" s="557"/>
      <c r="D45" s="558"/>
      <c r="E45" s="558"/>
      <c r="F45" s="556"/>
      <c r="G45" s="569"/>
      <c r="H45" s="569"/>
      <c r="I45" s="569"/>
    </row>
    <row r="46" s="524" customFormat="1" spans="1:9">
      <c r="A46" s="579"/>
      <c r="B46" s="556"/>
      <c r="C46" s="557"/>
      <c r="D46" s="558"/>
      <c r="E46" s="558"/>
      <c r="F46" s="556"/>
      <c r="G46" s="569"/>
      <c r="H46" s="569"/>
      <c r="I46" s="569"/>
    </row>
    <row r="47" s="524" customFormat="1" spans="2:9">
      <c r="B47" s="556"/>
      <c r="C47" s="557"/>
      <c r="D47" s="558"/>
      <c r="E47" s="558"/>
      <c r="F47" s="556"/>
      <c r="G47" s="569"/>
      <c r="H47" s="569"/>
      <c r="I47" s="569"/>
    </row>
    <row r="48" s="524" customFormat="1" spans="2:9">
      <c r="B48" s="556"/>
      <c r="C48" s="557"/>
      <c r="D48" s="558"/>
      <c r="E48" s="558"/>
      <c r="F48" s="556"/>
      <c r="G48" s="569"/>
      <c r="H48" s="569"/>
      <c r="I48" s="569"/>
    </row>
    <row r="49" s="524" customFormat="1" spans="2:9">
      <c r="B49" s="556"/>
      <c r="C49" s="557"/>
      <c r="D49" s="558"/>
      <c r="E49" s="558"/>
      <c r="F49" s="556"/>
      <c r="G49" s="569"/>
      <c r="H49" s="569"/>
      <c r="I49" s="569"/>
    </row>
    <row r="50" s="524" customFormat="1" spans="2:9">
      <c r="B50" s="556"/>
      <c r="C50" s="557"/>
      <c r="D50" s="558"/>
      <c r="E50" s="558"/>
      <c r="F50" s="556"/>
      <c r="G50" s="569"/>
      <c r="H50" s="569"/>
      <c r="I50" s="569"/>
    </row>
    <row r="51" s="524" customFormat="1" spans="2:9">
      <c r="B51" s="556"/>
      <c r="C51" s="557"/>
      <c r="D51" s="558"/>
      <c r="E51" s="558"/>
      <c r="F51" s="556"/>
      <c r="G51" s="569"/>
      <c r="H51" s="569"/>
      <c r="I51" s="569"/>
    </row>
    <row r="52" s="524" customFormat="1" spans="2:9">
      <c r="B52" s="556"/>
      <c r="C52" s="557"/>
      <c r="D52" s="558"/>
      <c r="E52" s="558"/>
      <c r="F52" s="556"/>
      <c r="G52" s="569"/>
      <c r="H52" s="569"/>
      <c r="I52" s="569"/>
    </row>
    <row r="53" s="524" customFormat="1" spans="2:9">
      <c r="B53" s="556"/>
      <c r="C53" s="557"/>
      <c r="D53" s="558"/>
      <c r="E53" s="558"/>
      <c r="F53" s="556"/>
      <c r="G53" s="569"/>
      <c r="H53" s="569"/>
      <c r="I53" s="569"/>
    </row>
    <row r="54" s="524" customFormat="1" spans="2:9">
      <c r="B54" s="556"/>
      <c r="C54" s="557"/>
      <c r="D54" s="558"/>
      <c r="E54" s="558"/>
      <c r="F54" s="556"/>
      <c r="G54" s="569"/>
      <c r="H54" s="569"/>
      <c r="I54" s="569"/>
    </row>
    <row r="55" s="524" customFormat="1" spans="2:9">
      <c r="B55" s="556"/>
      <c r="C55" s="557"/>
      <c r="D55" s="558"/>
      <c r="E55" s="558"/>
      <c r="F55" s="556"/>
      <c r="G55" s="569"/>
      <c r="H55" s="569"/>
      <c r="I55" s="569"/>
    </row>
    <row r="56" s="524" customFormat="1" spans="2:9">
      <c r="B56" s="556"/>
      <c r="C56" s="557"/>
      <c r="D56" s="558"/>
      <c r="E56" s="558"/>
      <c r="F56" s="556"/>
      <c r="G56" s="569"/>
      <c r="H56" s="569"/>
      <c r="I56" s="569"/>
    </row>
    <row r="57" s="524" customFormat="1" spans="2:9">
      <c r="B57" s="556"/>
      <c r="C57" s="557"/>
      <c r="D57" s="558"/>
      <c r="E57" s="558"/>
      <c r="F57" s="556"/>
      <c r="G57" s="569"/>
      <c r="H57" s="569"/>
      <c r="I57" s="569"/>
    </row>
    <row r="58" s="524" customFormat="1" spans="2:9">
      <c r="B58" s="556"/>
      <c r="C58" s="557"/>
      <c r="D58" s="558"/>
      <c r="E58" s="558"/>
      <c r="F58" s="556"/>
      <c r="G58" s="569"/>
      <c r="H58" s="569"/>
      <c r="I58" s="569"/>
    </row>
    <row r="59" s="524" customFormat="1" spans="2:9">
      <c r="B59" s="556"/>
      <c r="C59" s="557"/>
      <c r="D59" s="558"/>
      <c r="E59" s="558"/>
      <c r="F59" s="556"/>
      <c r="G59" s="569"/>
      <c r="H59" s="569"/>
      <c r="I59" s="569"/>
    </row>
    <row r="60" s="524" customFormat="1" spans="2:9">
      <c r="B60" s="556"/>
      <c r="C60" s="557"/>
      <c r="D60" s="558"/>
      <c r="E60" s="558"/>
      <c r="F60" s="556"/>
      <c r="G60" s="569"/>
      <c r="H60" s="569"/>
      <c r="I60" s="569"/>
    </row>
    <row r="61" s="524" customFormat="1" spans="2:6">
      <c r="B61" s="556"/>
      <c r="C61" s="557"/>
      <c r="D61" s="558"/>
      <c r="E61" s="558"/>
      <c r="F61" s="556"/>
    </row>
    <row r="62" s="524" customFormat="1" spans="2:6">
      <c r="B62" s="556"/>
      <c r="C62" s="557"/>
      <c r="D62" s="558"/>
      <c r="E62" s="558"/>
      <c r="F62" s="556"/>
    </row>
    <row r="63" s="524" customFormat="1" spans="2:6">
      <c r="B63" s="556"/>
      <c r="C63" s="557"/>
      <c r="D63" s="558"/>
      <c r="E63" s="558"/>
      <c r="F63" s="556"/>
    </row>
    <row r="64" s="524" customFormat="1" spans="2:6">
      <c r="B64" s="556"/>
      <c r="C64" s="557"/>
      <c r="D64" s="558"/>
      <c r="E64" s="558"/>
      <c r="F64" s="556"/>
    </row>
    <row r="65" s="524" customFormat="1" spans="2:6">
      <c r="B65" s="556"/>
      <c r="C65" s="557"/>
      <c r="D65" s="558"/>
      <c r="E65" s="558"/>
      <c r="F65" s="556"/>
    </row>
    <row r="66" s="524" customFormat="1" spans="2:6">
      <c r="B66" s="556"/>
      <c r="C66" s="557"/>
      <c r="D66" s="558"/>
      <c r="E66" s="558"/>
      <c r="F66" s="556"/>
    </row>
    <row r="67" s="524" customFormat="1" spans="2:6">
      <c r="B67" s="556"/>
      <c r="C67" s="557"/>
      <c r="D67" s="558"/>
      <c r="E67" s="558"/>
      <c r="F67" s="556"/>
    </row>
    <row r="68" s="524" customFormat="1" spans="2:6">
      <c r="B68" s="556"/>
      <c r="C68" s="557"/>
      <c r="D68" s="558"/>
      <c r="E68" s="558"/>
      <c r="F68" s="556"/>
    </row>
    <row r="69" s="524" customFormat="1" spans="2:6">
      <c r="B69" s="556"/>
      <c r="C69" s="557"/>
      <c r="D69" s="558"/>
      <c r="E69" s="558"/>
      <c r="F69" s="556"/>
    </row>
    <row r="70" s="524" customFormat="1" spans="2:6">
      <c r="B70" s="556"/>
      <c r="C70" s="557"/>
      <c r="D70" s="558"/>
      <c r="E70" s="558"/>
      <c r="F70" s="556"/>
    </row>
    <row r="71" s="524" customFormat="1" spans="2:6">
      <c r="B71" s="556"/>
      <c r="C71" s="557"/>
      <c r="D71" s="558"/>
      <c r="E71" s="558"/>
      <c r="F71" s="556"/>
    </row>
    <row r="72" s="524" customFormat="1" spans="2:6">
      <c r="B72" s="556"/>
      <c r="C72" s="557"/>
      <c r="D72" s="558"/>
      <c r="E72" s="558"/>
      <c r="F72" s="556"/>
    </row>
    <row r="73" s="524" customFormat="1" spans="2:6">
      <c r="B73" s="556"/>
      <c r="C73" s="557"/>
      <c r="D73" s="558"/>
      <c r="E73" s="558"/>
      <c r="F73" s="556"/>
    </row>
    <row r="74" s="524" customFormat="1" spans="2:6">
      <c r="B74" s="556"/>
      <c r="C74" s="557"/>
      <c r="D74" s="558"/>
      <c r="E74" s="558"/>
      <c r="F74" s="556"/>
    </row>
    <row r="75" s="524" customFormat="1" spans="2:6">
      <c r="B75" s="556"/>
      <c r="C75" s="557"/>
      <c r="D75" s="558"/>
      <c r="E75" s="558"/>
      <c r="F75" s="556"/>
    </row>
    <row r="76" s="524" customFormat="1" spans="2:6">
      <c r="B76" s="556"/>
      <c r="C76" s="557"/>
      <c r="D76" s="558"/>
      <c r="E76" s="558"/>
      <c r="F76" s="556"/>
    </row>
    <row r="77" s="524" customFormat="1" spans="2:6">
      <c r="B77" s="556"/>
      <c r="C77" s="557"/>
      <c r="D77" s="558"/>
      <c r="E77" s="558"/>
      <c r="F77" s="556"/>
    </row>
    <row r="78" s="524" customFormat="1" spans="2:6">
      <c r="B78" s="556"/>
      <c r="C78" s="557"/>
      <c r="D78" s="558"/>
      <c r="E78" s="558"/>
      <c r="F78" s="556"/>
    </row>
    <row r="79" s="524" customFormat="1" spans="2:6">
      <c r="B79" s="556"/>
      <c r="C79" s="557"/>
      <c r="D79" s="558"/>
      <c r="E79" s="558"/>
      <c r="F79" s="556"/>
    </row>
    <row r="80" s="524" customFormat="1" spans="2:6">
      <c r="B80" s="556"/>
      <c r="C80" s="557"/>
      <c r="D80" s="558"/>
      <c r="E80" s="558"/>
      <c r="F80" s="556"/>
    </row>
    <row r="81" s="524" customFormat="1" spans="2:6">
      <c r="B81" s="556"/>
      <c r="C81" s="557"/>
      <c r="D81" s="558"/>
      <c r="E81" s="558"/>
      <c r="F81" s="556"/>
    </row>
    <row r="82" s="524" customFormat="1" spans="2:6">
      <c r="B82" s="556"/>
      <c r="C82" s="557"/>
      <c r="D82" s="558"/>
      <c r="E82" s="558"/>
      <c r="F82" s="556"/>
    </row>
    <row r="83" s="524" customFormat="1" spans="2:6">
      <c r="B83" s="556"/>
      <c r="C83" s="557"/>
      <c r="D83" s="558"/>
      <c r="E83" s="558"/>
      <c r="F83" s="556"/>
    </row>
    <row r="84" s="524" customFormat="1" spans="2:6">
      <c r="B84" s="556"/>
      <c r="C84" s="557"/>
      <c r="D84" s="558"/>
      <c r="E84" s="558"/>
      <c r="F84" s="556"/>
    </row>
    <row r="85" s="524" customFormat="1" spans="2:6">
      <c r="B85" s="556"/>
      <c r="C85" s="557"/>
      <c r="D85" s="558"/>
      <c r="E85" s="558"/>
      <c r="F85" s="556"/>
    </row>
    <row r="86" s="524" customFormat="1" spans="2:6">
      <c r="B86" s="556"/>
      <c r="C86" s="557"/>
      <c r="D86" s="558"/>
      <c r="E86" s="558"/>
      <c r="F86" s="556"/>
    </row>
    <row r="87" s="524" customFormat="1" spans="2:6">
      <c r="B87" s="556"/>
      <c r="C87" s="557"/>
      <c r="D87" s="558"/>
      <c r="E87" s="558"/>
      <c r="F87" s="556"/>
    </row>
    <row r="88" s="524" customFormat="1" spans="2:6">
      <c r="B88" s="556"/>
      <c r="C88" s="557"/>
      <c r="D88" s="558"/>
      <c r="E88" s="558"/>
      <c r="F88" s="556"/>
    </row>
    <row r="89" s="524" customFormat="1" spans="2:7">
      <c r="B89" s="556"/>
      <c r="C89" s="557"/>
      <c r="D89" s="558"/>
      <c r="E89" s="558"/>
      <c r="F89" s="556"/>
      <c r="G89" s="467"/>
    </row>
    <row r="90" s="524" customFormat="1" spans="2:7">
      <c r="B90" s="556"/>
      <c r="C90" s="557"/>
      <c r="D90" s="558"/>
      <c r="E90" s="558"/>
      <c r="F90" s="556"/>
      <c r="G90" s="467"/>
    </row>
    <row r="91" s="524" customFormat="1" spans="2:7">
      <c r="B91" s="556"/>
      <c r="C91" s="557"/>
      <c r="D91" s="558"/>
      <c r="E91" s="558"/>
      <c r="F91" s="556"/>
      <c r="G91" s="467"/>
    </row>
    <row r="92" s="524" customFormat="1" spans="2:7">
      <c r="B92" s="556"/>
      <c r="C92" s="557"/>
      <c r="D92" s="558"/>
      <c r="E92" s="558"/>
      <c r="F92" s="556"/>
      <c r="G92" s="580"/>
    </row>
    <row r="93" s="524" customFormat="1" spans="2:7">
      <c r="B93" s="556"/>
      <c r="C93" s="557"/>
      <c r="D93" s="558"/>
      <c r="E93" s="558"/>
      <c r="F93" s="556"/>
      <c r="G93" s="467"/>
    </row>
    <row r="94" s="524" customFormat="1" spans="2:7">
      <c r="B94" s="556"/>
      <c r="C94" s="557"/>
      <c r="D94" s="558"/>
      <c r="E94" s="558"/>
      <c r="F94" s="556"/>
      <c r="G94" s="467"/>
    </row>
    <row r="95" s="524" customFormat="1" spans="2:7">
      <c r="B95" s="556"/>
      <c r="C95" s="557"/>
      <c r="D95" s="558"/>
      <c r="E95" s="558"/>
      <c r="F95" s="556"/>
      <c r="G95" s="580"/>
    </row>
    <row r="96" s="524" customFormat="1" spans="2:7">
      <c r="B96" s="556"/>
      <c r="C96" s="557"/>
      <c r="D96" s="558"/>
      <c r="E96" s="558"/>
      <c r="F96" s="556"/>
      <c r="G96" s="580"/>
    </row>
    <row r="97" s="524" customFormat="1" spans="2:7">
      <c r="B97" s="556"/>
      <c r="C97" s="557"/>
      <c r="D97" s="558"/>
      <c r="E97" s="558"/>
      <c r="F97" s="556"/>
      <c r="G97" s="467"/>
    </row>
    <row r="98" s="524" customFormat="1" spans="2:7">
      <c r="B98" s="556"/>
      <c r="C98" s="557"/>
      <c r="D98" s="558"/>
      <c r="E98" s="558"/>
      <c r="F98" s="556"/>
      <c r="G98" s="467"/>
    </row>
    <row r="99" s="524" customFormat="1" spans="2:7">
      <c r="B99" s="556"/>
      <c r="C99" s="557"/>
      <c r="D99" s="558"/>
      <c r="E99" s="558"/>
      <c r="F99" s="556"/>
      <c r="G99" s="467"/>
    </row>
    <row r="100" s="524" customFormat="1" spans="2:7">
      <c r="B100" s="556"/>
      <c r="C100" s="557"/>
      <c r="D100" s="558"/>
      <c r="E100" s="558"/>
      <c r="F100" s="556"/>
      <c r="G100" s="467"/>
    </row>
    <row r="101" s="524" customFormat="1" spans="2:7">
      <c r="B101" s="556"/>
      <c r="C101" s="557"/>
      <c r="D101" s="558"/>
      <c r="E101" s="558"/>
      <c r="F101" s="556"/>
      <c r="G101" s="467"/>
    </row>
    <row r="102" s="524" customFormat="1" spans="2:7">
      <c r="B102" s="556"/>
      <c r="C102" s="557"/>
      <c r="D102" s="558"/>
      <c r="E102" s="558"/>
      <c r="F102" s="556"/>
      <c r="G102" s="467"/>
    </row>
    <row r="103" s="524" customFormat="1" spans="2:7">
      <c r="B103" s="556"/>
      <c r="C103" s="557"/>
      <c r="D103" s="558"/>
      <c r="E103" s="558"/>
      <c r="F103" s="556"/>
      <c r="G103" s="467"/>
    </row>
    <row r="104" s="524" customFormat="1" spans="2:7">
      <c r="B104" s="556"/>
      <c r="C104" s="557"/>
      <c r="D104" s="558"/>
      <c r="E104" s="558"/>
      <c r="F104" s="556"/>
      <c r="G104" s="467"/>
    </row>
    <row r="105" s="524" customFormat="1" spans="2:7">
      <c r="B105" s="556"/>
      <c r="C105" s="557"/>
      <c r="D105" s="558"/>
      <c r="E105" s="558"/>
      <c r="F105" s="556"/>
      <c r="G105" s="467"/>
    </row>
    <row r="106" s="524" customFormat="1" spans="2:7">
      <c r="B106" s="556"/>
      <c r="C106" s="557"/>
      <c r="D106" s="558"/>
      <c r="E106" s="558"/>
      <c r="F106" s="556"/>
      <c r="G106" s="467"/>
    </row>
    <row r="107" s="524" customFormat="1" spans="2:7">
      <c r="B107" s="556"/>
      <c r="C107" s="557"/>
      <c r="D107" s="558"/>
      <c r="E107" s="558"/>
      <c r="F107" s="556"/>
      <c r="G107" s="467"/>
    </row>
    <row r="108" s="524" customFormat="1" spans="2:7">
      <c r="B108" s="556"/>
      <c r="C108" s="557"/>
      <c r="D108" s="558"/>
      <c r="E108" s="558"/>
      <c r="F108" s="556"/>
      <c r="G108" s="467"/>
    </row>
    <row r="109" s="524" customFormat="1" spans="2:7">
      <c r="B109" s="556"/>
      <c r="C109" s="557"/>
      <c r="D109" s="558"/>
      <c r="E109" s="558"/>
      <c r="F109" s="556"/>
      <c r="G109" s="467"/>
    </row>
    <row r="110" s="524" customFormat="1" spans="2:7">
      <c r="B110" s="556"/>
      <c r="C110" s="557"/>
      <c r="D110" s="558"/>
      <c r="E110" s="558"/>
      <c r="F110" s="556"/>
      <c r="G110" s="467"/>
    </row>
    <row r="111" s="524" customFormat="1" spans="2:7">
      <c r="B111" s="556"/>
      <c r="C111" s="557"/>
      <c r="D111" s="558"/>
      <c r="E111" s="558"/>
      <c r="F111" s="556"/>
      <c r="G111" s="467"/>
    </row>
    <row r="112" s="524" customFormat="1" spans="2:7">
      <c r="B112" s="556"/>
      <c r="C112" s="557"/>
      <c r="D112" s="558"/>
      <c r="E112" s="558"/>
      <c r="F112" s="556"/>
      <c r="G112" s="467"/>
    </row>
    <row r="113" s="524" customFormat="1" spans="2:7">
      <c r="B113" s="556"/>
      <c r="C113" s="557"/>
      <c r="D113" s="558"/>
      <c r="E113" s="558"/>
      <c r="F113" s="556"/>
      <c r="G113" s="467"/>
    </row>
  </sheetData>
  <mergeCells count="3">
    <mergeCell ref="A1:F1"/>
    <mergeCell ref="B40:C40"/>
    <mergeCell ref="A4:A40"/>
  </mergeCells>
  <pageMargins left="0.75" right="0.354166666666667" top="1" bottom="1" header="0.5" footer="0.5"/>
  <pageSetup paperSize="9" scale="7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E22" sqref="E22"/>
    </sheetView>
  </sheetViews>
  <sheetFormatPr defaultColWidth="9" defaultRowHeight="13.5" outlineLevelCol="5"/>
  <cols>
    <col min="1" max="1" width="11.25" style="2" customWidth="1"/>
    <col min="2" max="2" width="17.5" style="2" customWidth="1"/>
    <col min="3" max="3" width="13.5" style="471" customWidth="1"/>
    <col min="4" max="4" width="10.25" style="2" hidden="1" customWidth="1"/>
    <col min="5" max="5" width="49.75" style="2" customWidth="1"/>
    <col min="6" max="6" width="12.125" style="68" customWidth="1"/>
    <col min="7" max="16384" width="9" style="2"/>
  </cols>
  <sheetData>
    <row r="1" s="2" customFormat="1" ht="18.75" customHeight="1" spans="1:6">
      <c r="A1" s="384" t="s">
        <v>379</v>
      </c>
      <c r="B1" s="384"/>
      <c r="C1" s="522"/>
      <c r="D1" s="384"/>
      <c r="E1" s="384"/>
      <c r="F1" s="390"/>
    </row>
    <row r="2" s="2" customFormat="1" ht="26.25" customHeight="1" spans="1:6">
      <c r="A2" s="391" t="s">
        <v>380</v>
      </c>
      <c r="B2" s="391"/>
      <c r="C2" s="523"/>
      <c r="D2" s="391"/>
      <c r="E2" s="391"/>
      <c r="F2" s="391"/>
    </row>
    <row r="3" s="2" customFormat="1" ht="24" customHeight="1" spans="1:6">
      <c r="A3" s="524"/>
      <c r="B3" s="525"/>
      <c r="C3" s="526"/>
      <c r="D3" s="384"/>
      <c r="E3" s="527" t="s">
        <v>156</v>
      </c>
      <c r="F3" s="390"/>
    </row>
    <row r="4" s="2" customFormat="1" ht="18.75" customHeight="1" spans="1:6">
      <c r="A4" s="528" t="s">
        <v>142</v>
      </c>
      <c r="B4" s="528" t="s">
        <v>381</v>
      </c>
      <c r="C4" s="529" t="s">
        <v>57</v>
      </c>
      <c r="D4" s="528" t="s">
        <v>382</v>
      </c>
      <c r="E4" s="528" t="s">
        <v>157</v>
      </c>
      <c r="F4" s="530" t="s">
        <v>383</v>
      </c>
    </row>
    <row r="5" s="2" customFormat="1" ht="18" customHeight="1" spans="1:6">
      <c r="A5" s="531"/>
      <c r="B5" s="531"/>
      <c r="C5" s="532"/>
      <c r="D5" s="531"/>
      <c r="E5" s="531"/>
      <c r="F5" s="530"/>
    </row>
    <row r="6" s="2" customFormat="1" ht="30" customHeight="1" spans="1:6">
      <c r="A6" s="533" t="s">
        <v>34</v>
      </c>
      <c r="B6" s="533"/>
      <c r="C6" s="498">
        <f>SUM(C7:C32)</f>
        <v>196.496</v>
      </c>
      <c r="D6" s="534"/>
      <c r="E6" s="534"/>
      <c r="F6" s="530"/>
    </row>
    <row r="7" s="2" customFormat="1" ht="20" customHeight="1" spans="1:6">
      <c r="A7" s="535" t="s">
        <v>384</v>
      </c>
      <c r="B7" s="536" t="s">
        <v>385</v>
      </c>
      <c r="C7" s="449">
        <v>0.5</v>
      </c>
      <c r="D7" s="537"/>
      <c r="E7" s="536" t="s">
        <v>386</v>
      </c>
      <c r="F7" s="420" t="s">
        <v>387</v>
      </c>
    </row>
    <row r="8" s="2" customFormat="1" ht="20" customHeight="1" spans="1:6">
      <c r="A8" s="538"/>
      <c r="B8" s="536" t="s">
        <v>388</v>
      </c>
      <c r="C8" s="449">
        <v>0.3</v>
      </c>
      <c r="D8" s="537"/>
      <c r="E8" s="536" t="s">
        <v>389</v>
      </c>
      <c r="F8" s="420" t="s">
        <v>387</v>
      </c>
    </row>
    <row r="9" s="2" customFormat="1" ht="20" customHeight="1" spans="1:6">
      <c r="A9" s="538"/>
      <c r="B9" s="536" t="s">
        <v>390</v>
      </c>
      <c r="C9" s="449">
        <v>2</v>
      </c>
      <c r="D9" s="537"/>
      <c r="E9" s="536"/>
      <c r="F9" s="420" t="s">
        <v>387</v>
      </c>
    </row>
    <row r="10" s="2" customFormat="1" ht="20" customHeight="1" spans="1:6">
      <c r="A10" s="539"/>
      <c r="B10" s="536" t="s">
        <v>391</v>
      </c>
      <c r="C10" s="449">
        <v>0.3</v>
      </c>
      <c r="D10" s="537"/>
      <c r="E10" s="536" t="s">
        <v>392</v>
      </c>
      <c r="F10" s="420" t="s">
        <v>387</v>
      </c>
    </row>
    <row r="11" s="2" customFormat="1" ht="20" customHeight="1" spans="1:6">
      <c r="A11" s="442" t="s">
        <v>133</v>
      </c>
      <c r="B11" s="422" t="s">
        <v>393</v>
      </c>
      <c r="C11" s="449">
        <v>97.896</v>
      </c>
      <c r="D11" s="537"/>
      <c r="E11" s="540" t="s">
        <v>394</v>
      </c>
      <c r="F11" s="420" t="s">
        <v>395</v>
      </c>
    </row>
    <row r="12" s="2" customFormat="1" ht="20" customHeight="1" spans="1:6">
      <c r="A12" s="535" t="s">
        <v>396</v>
      </c>
      <c r="B12" s="541" t="s">
        <v>397</v>
      </c>
      <c r="C12" s="449">
        <v>3.5</v>
      </c>
      <c r="D12" s="537"/>
      <c r="E12" s="435" t="s">
        <v>398</v>
      </c>
      <c r="F12" s="420" t="s">
        <v>399</v>
      </c>
    </row>
    <row r="13" s="2" customFormat="1" ht="20" customHeight="1" spans="1:6">
      <c r="A13" s="538"/>
      <c r="B13" s="541" t="s">
        <v>400</v>
      </c>
      <c r="C13" s="449">
        <v>0.5</v>
      </c>
      <c r="D13" s="537"/>
      <c r="E13" s="420" t="s">
        <v>401</v>
      </c>
      <c r="F13" s="420" t="s">
        <v>399</v>
      </c>
    </row>
    <row r="14" s="2" customFormat="1" ht="20" customHeight="1" spans="1:6">
      <c r="A14" s="538"/>
      <c r="B14" s="541" t="s">
        <v>402</v>
      </c>
      <c r="C14" s="449">
        <v>2</v>
      </c>
      <c r="D14" s="537"/>
      <c r="E14" s="420" t="s">
        <v>403</v>
      </c>
      <c r="F14" s="420" t="s">
        <v>399</v>
      </c>
    </row>
    <row r="15" s="2" customFormat="1" ht="20" customHeight="1" spans="1:6">
      <c r="A15" s="538"/>
      <c r="B15" s="541" t="s">
        <v>404</v>
      </c>
      <c r="C15" s="449">
        <v>1</v>
      </c>
      <c r="D15" s="537"/>
      <c r="E15" s="420" t="s">
        <v>405</v>
      </c>
      <c r="F15" s="420" t="s">
        <v>399</v>
      </c>
    </row>
    <row r="16" s="2" customFormat="1" ht="20" customHeight="1" spans="1:6">
      <c r="A16" s="538"/>
      <c r="B16" s="541" t="s">
        <v>406</v>
      </c>
      <c r="C16" s="449">
        <v>0.5</v>
      </c>
      <c r="D16" s="537"/>
      <c r="E16" s="420" t="s">
        <v>407</v>
      </c>
      <c r="F16" s="420" t="s">
        <v>399</v>
      </c>
    </row>
    <row r="17" s="2" customFormat="1" ht="20" customHeight="1" spans="1:6">
      <c r="A17" s="535" t="s">
        <v>178</v>
      </c>
      <c r="B17" s="541" t="s">
        <v>408</v>
      </c>
      <c r="C17" s="542">
        <v>26</v>
      </c>
      <c r="D17" s="537"/>
      <c r="E17" s="543" t="s">
        <v>408</v>
      </c>
      <c r="F17" s="544" t="s">
        <v>409</v>
      </c>
    </row>
    <row r="18" s="2" customFormat="1" ht="20" customHeight="1" spans="1:6">
      <c r="A18" s="538"/>
      <c r="B18" s="541" t="s">
        <v>410</v>
      </c>
      <c r="C18" s="542">
        <v>8</v>
      </c>
      <c r="D18" s="537"/>
      <c r="E18" s="543" t="s">
        <v>410</v>
      </c>
      <c r="F18" s="544" t="s">
        <v>409</v>
      </c>
    </row>
    <row r="19" s="2" customFormat="1" ht="20" customHeight="1" spans="1:6">
      <c r="A19" s="538"/>
      <c r="B19" s="541" t="s">
        <v>411</v>
      </c>
      <c r="C19" s="542">
        <v>1</v>
      </c>
      <c r="D19" s="537"/>
      <c r="E19" s="545" t="s">
        <v>411</v>
      </c>
      <c r="F19" s="420" t="s">
        <v>409</v>
      </c>
    </row>
    <row r="20" s="2" customFormat="1" ht="20" customHeight="1" spans="1:6">
      <c r="A20" s="539"/>
      <c r="B20" s="541" t="s">
        <v>412</v>
      </c>
      <c r="C20" s="546">
        <v>0.5</v>
      </c>
      <c r="D20" s="537"/>
      <c r="E20" s="547" t="s">
        <v>412</v>
      </c>
      <c r="F20" s="420" t="s">
        <v>409</v>
      </c>
    </row>
    <row r="21" s="2" customFormat="1" ht="20" customHeight="1" spans="1:6">
      <c r="A21" s="535" t="s">
        <v>189</v>
      </c>
      <c r="B21" s="415" t="s">
        <v>413</v>
      </c>
      <c r="C21" s="449">
        <v>7</v>
      </c>
      <c r="D21" s="537"/>
      <c r="E21" s="428" t="s">
        <v>413</v>
      </c>
      <c r="F21" s="420" t="s">
        <v>414</v>
      </c>
    </row>
    <row r="22" s="2" customFormat="1" ht="20" customHeight="1" spans="1:6">
      <c r="A22" s="539"/>
      <c r="B22" s="548" t="s">
        <v>415</v>
      </c>
      <c r="C22" s="549">
        <v>2</v>
      </c>
      <c r="D22" s="550"/>
      <c r="E22" s="551" t="s">
        <v>415</v>
      </c>
      <c r="F22" s="420" t="s">
        <v>414</v>
      </c>
    </row>
    <row r="23" s="2" customFormat="1" ht="20" customHeight="1" spans="1:6">
      <c r="A23" s="485" t="s">
        <v>416</v>
      </c>
      <c r="B23" s="486" t="s">
        <v>417</v>
      </c>
      <c r="C23" s="487">
        <v>2</v>
      </c>
      <c r="D23" s="552"/>
      <c r="E23" s="71" t="s">
        <v>418</v>
      </c>
      <c r="F23" s="71" t="s">
        <v>419</v>
      </c>
    </row>
    <row r="24" s="2" customFormat="1" ht="20" customHeight="1" spans="1:6">
      <c r="A24" s="485"/>
      <c r="B24" s="486" t="s">
        <v>420</v>
      </c>
      <c r="C24" s="487">
        <v>0.7</v>
      </c>
      <c r="D24" s="486"/>
      <c r="E24" s="71" t="s">
        <v>418</v>
      </c>
      <c r="F24" s="71" t="s">
        <v>419</v>
      </c>
    </row>
    <row r="25" s="2" customFormat="1" ht="20" customHeight="1" spans="1:6">
      <c r="A25" s="485"/>
      <c r="B25" s="486" t="s">
        <v>421</v>
      </c>
      <c r="C25" s="487">
        <v>1</v>
      </c>
      <c r="D25" s="486"/>
      <c r="E25" s="71" t="s">
        <v>418</v>
      </c>
      <c r="F25" s="71" t="s">
        <v>419</v>
      </c>
    </row>
    <row r="26" s="2" customFormat="1" ht="20" customHeight="1" spans="1:6">
      <c r="A26" s="485"/>
      <c r="B26" s="486" t="s">
        <v>422</v>
      </c>
      <c r="C26" s="487">
        <v>0.7</v>
      </c>
      <c r="D26" s="486"/>
      <c r="E26" s="71" t="s">
        <v>418</v>
      </c>
      <c r="F26" s="71" t="s">
        <v>419</v>
      </c>
    </row>
    <row r="27" s="2" customFormat="1" ht="20" customHeight="1" spans="1:6">
      <c r="A27" s="485"/>
      <c r="B27" s="486" t="s">
        <v>423</v>
      </c>
      <c r="C27" s="487">
        <v>3</v>
      </c>
      <c r="D27" s="486"/>
      <c r="E27" s="71" t="s">
        <v>424</v>
      </c>
      <c r="F27" s="71" t="s">
        <v>419</v>
      </c>
    </row>
    <row r="28" s="2" customFormat="1" ht="20" customHeight="1" spans="1:6">
      <c r="A28" s="485"/>
      <c r="B28" s="486" t="s">
        <v>425</v>
      </c>
      <c r="C28" s="487">
        <v>0.6</v>
      </c>
      <c r="D28" s="486"/>
      <c r="E28" s="71" t="s">
        <v>418</v>
      </c>
      <c r="F28" s="71" t="s">
        <v>419</v>
      </c>
    </row>
    <row r="29" s="2" customFormat="1" ht="20" customHeight="1" spans="1:6">
      <c r="A29" s="485"/>
      <c r="B29" s="486" t="s">
        <v>426</v>
      </c>
      <c r="C29" s="487">
        <v>0.5</v>
      </c>
      <c r="D29" s="486"/>
      <c r="E29" s="71" t="s">
        <v>424</v>
      </c>
      <c r="F29" s="71" t="s">
        <v>419</v>
      </c>
    </row>
    <row r="30" ht="20" customHeight="1" spans="1:6">
      <c r="A30" s="553" t="s">
        <v>427</v>
      </c>
      <c r="B30" s="486" t="s">
        <v>428</v>
      </c>
      <c r="C30" s="487">
        <v>30</v>
      </c>
      <c r="D30" s="486"/>
      <c r="E30" s="71" t="s">
        <v>428</v>
      </c>
      <c r="F30" s="71"/>
    </row>
    <row r="31" ht="20" customHeight="1" spans="1:6">
      <c r="A31" s="554"/>
      <c r="B31" s="486" t="s">
        <v>429</v>
      </c>
      <c r="C31" s="487">
        <v>5</v>
      </c>
      <c r="D31" s="486"/>
      <c r="E31" s="71" t="s">
        <v>429</v>
      </c>
      <c r="F31" s="71"/>
    </row>
    <row r="32" ht="18.75" spans="2:5">
      <c r="B32" s="451" t="s">
        <v>76</v>
      </c>
      <c r="C32" s="51" t="s">
        <v>77</v>
      </c>
      <c r="D32" s="452"/>
      <c r="E32" s="44" t="s">
        <v>140</v>
      </c>
    </row>
  </sheetData>
  <mergeCells count="13">
    <mergeCell ref="A2:F2"/>
    <mergeCell ref="A4:A5"/>
    <mergeCell ref="A7:A10"/>
    <mergeCell ref="A12:A16"/>
    <mergeCell ref="A17:A20"/>
    <mergeCell ref="A21:A22"/>
    <mergeCell ref="A23:A29"/>
    <mergeCell ref="A30:A31"/>
    <mergeCell ref="B4:B5"/>
    <mergeCell ref="C4:C5"/>
    <mergeCell ref="D4:D5"/>
    <mergeCell ref="E4:E5"/>
    <mergeCell ref="F4:F5"/>
  </mergeCells>
  <pageMargins left="0.75" right="0.393055555555556" top="1" bottom="1" header="0.5" footer="0.5"/>
  <pageSetup paperSize="9" scale="7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F8" sqref="F8"/>
    </sheetView>
  </sheetViews>
  <sheetFormatPr defaultColWidth="9" defaultRowHeight="14.25" outlineLevelCol="5"/>
  <cols>
    <col min="1" max="1" width="14.625" style="51" customWidth="1"/>
    <col min="2" max="2" width="17.625" style="44" customWidth="1"/>
    <col min="3" max="3" width="14.375" style="510" customWidth="1"/>
    <col min="4" max="4" width="15.5" style="51" customWidth="1"/>
    <col min="5" max="5" width="15.75" style="511" customWidth="1"/>
    <col min="6" max="6" width="19.25" style="44" customWidth="1"/>
    <col min="7" max="7" width="12.625" style="44"/>
    <col min="8" max="16384" width="9" style="44"/>
  </cols>
  <sheetData>
    <row r="1" s="44" customFormat="1" ht="51" customHeight="1" spans="1:6">
      <c r="A1" s="377" t="s">
        <v>430</v>
      </c>
      <c r="B1" s="377"/>
      <c r="C1" s="512"/>
      <c r="D1" s="377"/>
      <c r="E1" s="513"/>
      <c r="F1" s="377"/>
    </row>
    <row r="2" s="44" customFormat="1" ht="31" customHeight="1" spans="1:6">
      <c r="A2" s="514" t="s">
        <v>431</v>
      </c>
      <c r="B2" s="514"/>
      <c r="C2" s="512"/>
      <c r="D2" s="377"/>
      <c r="E2" s="513"/>
      <c r="F2" s="378" t="s">
        <v>343</v>
      </c>
    </row>
    <row r="3" s="374" customFormat="1" ht="36" customHeight="1" spans="1:6">
      <c r="A3" s="367" t="s">
        <v>55</v>
      </c>
      <c r="B3" s="367" t="s">
        <v>432</v>
      </c>
      <c r="C3" s="515" t="s">
        <v>347</v>
      </c>
      <c r="D3" s="367" t="s">
        <v>279</v>
      </c>
      <c r="E3" s="516" t="s">
        <v>57</v>
      </c>
      <c r="F3" s="367" t="s">
        <v>433</v>
      </c>
    </row>
    <row r="4" s="44" customFormat="1" ht="30" customHeight="1" spans="1:6">
      <c r="A4" s="517">
        <v>1</v>
      </c>
      <c r="B4" s="64" t="s">
        <v>434</v>
      </c>
      <c r="C4" s="62">
        <v>14.378668</v>
      </c>
      <c r="D4" s="64">
        <v>1</v>
      </c>
      <c r="E4" s="518">
        <v>14.378668</v>
      </c>
      <c r="F4" s="85"/>
    </row>
    <row r="5" s="44" customFormat="1" ht="30" customHeight="1" spans="1:6">
      <c r="A5" s="517">
        <v>2</v>
      </c>
      <c r="B5" s="64" t="s">
        <v>435</v>
      </c>
      <c r="C5" s="62">
        <v>1165.588888</v>
      </c>
      <c r="D5" s="64">
        <v>1</v>
      </c>
      <c r="E5" s="518">
        <v>1165.588888</v>
      </c>
      <c r="F5" s="85"/>
    </row>
    <row r="6" s="44" customFormat="1" ht="30" customHeight="1" spans="1:6">
      <c r="A6" s="517">
        <v>3</v>
      </c>
      <c r="B6" s="64" t="s">
        <v>436</v>
      </c>
      <c r="C6" s="62">
        <v>151.505158</v>
      </c>
      <c r="D6" s="64">
        <v>1</v>
      </c>
      <c r="E6" s="518">
        <v>151.505158</v>
      </c>
      <c r="F6" s="85"/>
    </row>
    <row r="7" s="44" customFormat="1" ht="30" customHeight="1" spans="1:6">
      <c r="A7" s="517">
        <v>4</v>
      </c>
      <c r="B7" s="64" t="s">
        <v>437</v>
      </c>
      <c r="C7" s="62">
        <v>43.956045</v>
      </c>
      <c r="D7" s="64">
        <v>1</v>
      </c>
      <c r="E7" s="518">
        <v>43.956045</v>
      </c>
      <c r="F7" s="85"/>
    </row>
    <row r="8" s="44" customFormat="1" ht="30" customHeight="1" spans="1:6">
      <c r="A8" s="517">
        <v>5</v>
      </c>
      <c r="B8" s="64" t="s">
        <v>438</v>
      </c>
      <c r="C8" s="62">
        <v>77</v>
      </c>
      <c r="D8" s="64">
        <v>1</v>
      </c>
      <c r="E8" s="518">
        <v>77</v>
      </c>
      <c r="F8" s="85"/>
    </row>
    <row r="9" s="44" customFormat="1" ht="30" customHeight="1" spans="1:6">
      <c r="A9" s="517">
        <v>6</v>
      </c>
      <c r="B9" s="85" t="s">
        <v>439</v>
      </c>
      <c r="C9" s="62">
        <v>194.964032</v>
      </c>
      <c r="D9" s="64">
        <v>1</v>
      </c>
      <c r="E9" s="518">
        <v>194.964032</v>
      </c>
      <c r="F9" s="85"/>
    </row>
    <row r="10" s="44" customFormat="1" ht="27" customHeight="1" spans="1:6">
      <c r="A10" s="519" t="s">
        <v>34</v>
      </c>
      <c r="B10" s="86"/>
      <c r="C10" s="520"/>
      <c r="D10" s="519"/>
      <c r="E10" s="521">
        <f>SUM(E4:E9)</f>
        <v>1647.392791</v>
      </c>
      <c r="F10" s="86"/>
    </row>
    <row r="11" ht="1" customHeight="1"/>
    <row r="12" hidden="1" spans="1:5">
      <c r="A12" s="51" t="s">
        <v>76</v>
      </c>
      <c r="C12" s="510" t="s">
        <v>77</v>
      </c>
      <c r="E12" s="511" t="s">
        <v>78</v>
      </c>
    </row>
    <row r="14" ht="18.75" spans="1:4">
      <c r="A14" s="451" t="s">
        <v>76</v>
      </c>
      <c r="B14" s="51" t="s">
        <v>77</v>
      </c>
      <c r="C14" s="452"/>
      <c r="D14" s="44" t="s">
        <v>140</v>
      </c>
    </row>
  </sheetData>
  <mergeCells count="2">
    <mergeCell ref="A1:F1"/>
    <mergeCell ref="A2:B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预算总表.</vt:lpstr>
      <vt:lpstr>公用经费-01.</vt:lpstr>
      <vt:lpstr>人员经费-02</vt:lpstr>
      <vt:lpstr>资本性支出(（总）-03</vt:lpstr>
      <vt:lpstr>公用经费-01-01-科教科</vt:lpstr>
      <vt:lpstr>公用经费-01-02-后勤</vt:lpstr>
      <vt:lpstr>公用经费-01--03-设备科-设备维修</vt:lpstr>
      <vt:lpstr>公用经费-01-04-（基本支出-活动经费明细)</vt:lpstr>
      <vt:lpstr>公用经费-01--05-全院</vt:lpstr>
      <vt:lpstr>公用经费-01--06-工会经费</vt:lpstr>
      <vt:lpstr>公用经费-01-07-委托业务费</vt:lpstr>
      <vt:lpstr>资本性支出（明细汇总）-03-01</vt:lpstr>
      <vt:lpstr>儿童福利院项目-04</vt:lpstr>
      <vt:lpstr>坊子福利院-05</vt:lpstr>
      <vt:lpstr>清池公卫-06-01</vt:lpstr>
      <vt:lpstr>清池基本医疗-06-02</vt:lpstr>
      <vt:lpstr>新城公卫-06-03</vt:lpstr>
      <vt:lpstr>新城基本医疗-06-04</vt:lpstr>
      <vt:lpstr>工作量、收入（临床）</vt:lpstr>
      <vt:lpstr>工作量、收入（医技）-07-02</vt:lpstr>
      <vt:lpstr>工作量、收入（防疫）-07-03</vt:lpstr>
      <vt:lpstr>民生项目-08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郑嘉嘉</cp:lastModifiedBy>
  <dcterms:created xsi:type="dcterms:W3CDTF">2006-09-13T11:21:00Z</dcterms:created>
  <cp:lastPrinted>2024-02-29T03:11:00Z</cp:lastPrinted>
  <dcterms:modified xsi:type="dcterms:W3CDTF">2024-12-31T06:03:17Z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E95A3BC0E65841DE9DDBAAE630F16A75_13</vt:lpwstr>
  </property>
</Properties>
</file>